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18"/>
  <workbookPr/>
  <mc:AlternateContent xmlns:mc="http://schemas.openxmlformats.org/markup-compatibility/2006">
    <mc:Choice Requires="x15">
      <x15ac:absPath xmlns:x15ac="http://schemas.microsoft.com/office/spreadsheetml/2010/11/ac" url="F:\Escritorio\Ppto 2023\Informe Gestión 2023 octu 31 y cuatrienio\"/>
    </mc:Choice>
  </mc:AlternateContent>
  <xr:revisionPtr revIDLastSave="1" documentId="11_835C5CCDB33B20327EE7AA29A94FE34386CA3D3E" xr6:coauthVersionLast="47" xr6:coauthVersionMax="47" xr10:uidLastSave="{649E69B2-E174-4C75-ABED-021B2AABC2FD}"/>
  <bookViews>
    <workbookView xWindow="0" yWindow="0" windowWidth="24000" windowHeight="8820" firstSheet="3" activeTab="3" xr2:uid="{00000000-000D-0000-FFFF-FFFF00000000}"/>
  </bookViews>
  <sheets>
    <sheet name="Datos Generales" sheetId="1" r:id="rId1"/>
    <sheet name="Hoja1" sheetId="2" state="hidden" r:id="rId2"/>
    <sheet name="Protocolo Inf Gestión" sheetId="4" r:id="rId3"/>
    <sheet name="Anexo1_Matriz avance fisico-fin" sheetId="3" r:id="rId4"/>
    <sheet name="Hoja2" sheetId="5" state="hidden" r:id="rId5"/>
  </sheets>
  <externalReferences>
    <externalReference r:id="rId6"/>
    <externalReference r:id="rId7"/>
  </externalReferences>
  <definedNames>
    <definedName name="_xlnm._FilterDatabase" localSheetId="3" hidden="1">'Anexo1_Matriz avance fisico-fin'!$A$6:$BL$180</definedName>
    <definedName name="GASTOS">[1]Formulas!$D$33:$D$34</definedName>
    <definedName name="Informe">[1]Formulas!$D$33:$D$34</definedName>
    <definedName name="Lista_CAR" localSheetId="2">'[2]Datos Generales'!$H$5:$H$36</definedName>
    <definedName name="Lista_CAR">'Datos Generales'!$H$5:$H$37</definedName>
    <definedName name="REPORTE" localSheetId="2">[2]Formulas!$F$33:$F$34</definedName>
    <definedName name="REPORTE">#REF!</definedName>
    <definedName name="SI" localSheetId="2">[2]Formulas!$D$33:$D$34</definedName>
    <definedName name="SI">#REF!</definedName>
    <definedName name="Vigencias" localSheetId="2">'[2]Datos Generales'!$H$38:$H$45</definedName>
    <definedName name="Vigencias">'Datos Generales'!$H$39:$H$46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1" roundtripDataChecksum="dG+aYdNpwPwdLxOYQXQOCI8DzNNcnOeNdeUVRGUtgwo="/>
    </ext>
  </extLst>
</workbook>
</file>

<file path=xl/calcChain.xml><?xml version="1.0" encoding="utf-8"?>
<calcChain xmlns="http://schemas.openxmlformats.org/spreadsheetml/2006/main">
  <c r="R173" i="3" l="1"/>
  <c r="R35" i="3"/>
  <c r="R18" i="3"/>
  <c r="AU13" i="3" l="1"/>
  <c r="AU14" i="3"/>
  <c r="AU12" i="3"/>
  <c r="AT10" i="3"/>
  <c r="AT20" i="3" l="1"/>
  <c r="AT31" i="3"/>
  <c r="AT40" i="3"/>
  <c r="AT46" i="3"/>
  <c r="AT54" i="3"/>
  <c r="AT75" i="3"/>
  <c r="AT83" i="3"/>
  <c r="AT91" i="3"/>
  <c r="AT102" i="3"/>
  <c r="AT112" i="3"/>
  <c r="AT120" i="3"/>
  <c r="AT129" i="3"/>
  <c r="AT136" i="3"/>
  <c r="AT140" i="3"/>
  <c r="AT150" i="3"/>
  <c r="AT155" i="3"/>
  <c r="AT162" i="3"/>
  <c r="AT170" i="3"/>
  <c r="AT67" i="3" l="1"/>
  <c r="AT82" i="3"/>
  <c r="AT81" i="3" s="1"/>
  <c r="AT161" i="3"/>
  <c r="AT160" i="3" s="1"/>
  <c r="AT128" i="3"/>
  <c r="AT127" i="3" s="1"/>
  <c r="AT149" i="3"/>
  <c r="AT148" i="3" s="1"/>
  <c r="AT101" i="3"/>
  <c r="AT100" i="3" s="1"/>
  <c r="AT9" i="3"/>
  <c r="AT8" i="3" s="1"/>
  <c r="AT30" i="3"/>
  <c r="AT29" i="3" s="1"/>
  <c r="BG11" i="3"/>
  <c r="BD11" i="3"/>
  <c r="AK150" i="3"/>
  <c r="AK140" i="3"/>
  <c r="BH11" i="3" l="1"/>
  <c r="AT66" i="3"/>
  <c r="AT65" i="3" s="1"/>
  <c r="AT177" i="3" s="1"/>
  <c r="AO112" i="3"/>
  <c r="AK102" i="3"/>
  <c r="AO102" i="3"/>
  <c r="BG176" i="3" l="1"/>
  <c r="BE176" i="3"/>
  <c r="BD176" i="3"/>
  <c r="BC176" i="3"/>
  <c r="AU176" i="3"/>
  <c r="AP176" i="3"/>
  <c r="AF176" i="3"/>
  <c r="AD176" i="3"/>
  <c r="AC176" i="3"/>
  <c r="R176" i="3"/>
  <c r="Q176" i="3"/>
  <c r="P176" i="3"/>
  <c r="BG175" i="3"/>
  <c r="BE175" i="3"/>
  <c r="BD175" i="3"/>
  <c r="AU175" i="3"/>
  <c r="AP175" i="3"/>
  <c r="AF175" i="3"/>
  <c r="AD175" i="3"/>
  <c r="AC175" i="3"/>
  <c r="R175" i="3"/>
  <c r="Q175" i="3"/>
  <c r="P175" i="3"/>
  <c r="BG174" i="3"/>
  <c r="BE174" i="3"/>
  <c r="BD174" i="3"/>
  <c r="AF174" i="3"/>
  <c r="AD174" i="3"/>
  <c r="AC174" i="3"/>
  <c r="R174" i="3"/>
  <c r="Q174" i="3"/>
  <c r="P174" i="3"/>
  <c r="O174" i="3"/>
  <c r="O170" i="3" s="1"/>
  <c r="BG173" i="3"/>
  <c r="BE173" i="3"/>
  <c r="BD173" i="3"/>
  <c r="AF173" i="3"/>
  <c r="AD173" i="3"/>
  <c r="AC173" i="3"/>
  <c r="Q173" i="3"/>
  <c r="P173" i="3"/>
  <c r="BG172" i="3"/>
  <c r="BE172" i="3"/>
  <c r="BD172" i="3"/>
  <c r="AU172" i="3"/>
  <c r="AP172" i="3"/>
  <c r="AF172" i="3"/>
  <c r="AD172" i="3"/>
  <c r="AC172" i="3"/>
  <c r="R172" i="3"/>
  <c r="Q172" i="3"/>
  <c r="P172" i="3"/>
  <c r="BG171" i="3"/>
  <c r="BD171" i="3"/>
  <c r="AU171" i="3"/>
  <c r="AP171" i="3"/>
  <c r="AM171" i="3"/>
  <c r="BE171" i="3" s="1"/>
  <c r="AF171" i="3"/>
  <c r="AD171" i="3"/>
  <c r="AC171" i="3"/>
  <c r="R171" i="3"/>
  <c r="Q171" i="3"/>
  <c r="P171" i="3"/>
  <c r="AO170" i="3"/>
  <c r="AN170" i="3"/>
  <c r="AL170" i="3"/>
  <c r="AK170" i="3"/>
  <c r="AF170" i="3"/>
  <c r="BG169" i="3"/>
  <c r="BE169" i="3"/>
  <c r="BD169" i="3"/>
  <c r="AF169" i="3"/>
  <c r="AD169" i="3"/>
  <c r="AC169" i="3"/>
  <c r="Q169" i="3"/>
  <c r="BG168" i="3"/>
  <c r="BE168" i="3"/>
  <c r="BD168" i="3"/>
  <c r="AU168" i="3"/>
  <c r="AP168" i="3"/>
  <c r="AF168" i="3"/>
  <c r="AD168" i="3"/>
  <c r="AC168" i="3"/>
  <c r="R168" i="3"/>
  <c r="Q168" i="3"/>
  <c r="P168" i="3"/>
  <c r="O168" i="3"/>
  <c r="BG167" i="3"/>
  <c r="BE167" i="3"/>
  <c r="BD167" i="3"/>
  <c r="AF167" i="3"/>
  <c r="AD167" i="3"/>
  <c r="AC167" i="3"/>
  <c r="Q167" i="3"/>
  <c r="P167" i="3"/>
  <c r="O167" i="3"/>
  <c r="BG166" i="3"/>
  <c r="BE166" i="3"/>
  <c r="BD166" i="3"/>
  <c r="AU166" i="3"/>
  <c r="AP166" i="3"/>
  <c r="AF166" i="3"/>
  <c r="AD166" i="3"/>
  <c r="AC166" i="3"/>
  <c r="P166" i="3"/>
  <c r="BG165" i="3"/>
  <c r="BE165" i="3"/>
  <c r="BD165" i="3"/>
  <c r="AU165" i="3"/>
  <c r="AP165" i="3"/>
  <c r="AF165" i="3"/>
  <c r="AD165" i="3"/>
  <c r="AC165" i="3"/>
  <c r="R165" i="3"/>
  <c r="Q165" i="3"/>
  <c r="P165" i="3"/>
  <c r="O165" i="3"/>
  <c r="BG164" i="3"/>
  <c r="BE164" i="3"/>
  <c r="BD164" i="3"/>
  <c r="AF164" i="3"/>
  <c r="AD164" i="3"/>
  <c r="AC164" i="3"/>
  <c r="R164" i="3"/>
  <c r="Q164" i="3"/>
  <c r="P164" i="3"/>
  <c r="O164" i="3"/>
  <c r="BG163" i="3"/>
  <c r="BE163" i="3"/>
  <c r="BD163" i="3"/>
  <c r="AU163" i="3"/>
  <c r="AP163" i="3"/>
  <c r="AF163" i="3"/>
  <c r="AD163" i="3"/>
  <c r="AC163" i="3"/>
  <c r="R163" i="3"/>
  <c r="AO162" i="3"/>
  <c r="AN162" i="3"/>
  <c r="AM162" i="3"/>
  <c r="AL162" i="3"/>
  <c r="AK162" i="3"/>
  <c r="AF162" i="3"/>
  <c r="BB160" i="3"/>
  <c r="BA160" i="3"/>
  <c r="BA150" i="3" s="1"/>
  <c r="BA148" i="3" s="1"/>
  <c r="AZ160" i="3"/>
  <c r="AZ150" i="3" s="1"/>
  <c r="AZ148" i="3" s="1"/>
  <c r="AY160" i="3"/>
  <c r="AY150" i="3" s="1"/>
  <c r="AY148" i="3" s="1"/>
  <c r="AX160" i="3"/>
  <c r="AX150" i="3" s="1"/>
  <c r="AX148" i="3" s="1"/>
  <c r="AW160" i="3"/>
  <c r="AW150" i="3" s="1"/>
  <c r="AW148" i="3" s="1"/>
  <c r="AV160" i="3"/>
  <c r="AV150" i="3" s="1"/>
  <c r="AV148" i="3" s="1"/>
  <c r="AS160" i="3"/>
  <c r="AS150" i="3" s="1"/>
  <c r="AS148" i="3" s="1"/>
  <c r="AR160" i="3"/>
  <c r="AR150" i="3" s="1"/>
  <c r="AR148" i="3" s="1"/>
  <c r="AQ160" i="3"/>
  <c r="AQ150" i="3" s="1"/>
  <c r="AQ148" i="3" s="1"/>
  <c r="BG158" i="3"/>
  <c r="BE158" i="3"/>
  <c r="BD158" i="3"/>
  <c r="BC158" i="3"/>
  <c r="AU158" i="3"/>
  <c r="AP158" i="3"/>
  <c r="AF158" i="3"/>
  <c r="AD158" i="3"/>
  <c r="AC158" i="3"/>
  <c r="R158" i="3"/>
  <c r="Q158" i="3"/>
  <c r="P158" i="3"/>
  <c r="BG157" i="3"/>
  <c r="BE157" i="3"/>
  <c r="BD157" i="3"/>
  <c r="AU157" i="3"/>
  <c r="AP157" i="3"/>
  <c r="AF157" i="3"/>
  <c r="AD157" i="3"/>
  <c r="AC157" i="3"/>
  <c r="R157" i="3"/>
  <c r="Q157" i="3"/>
  <c r="P157" i="3"/>
  <c r="BG156" i="3"/>
  <c r="BD156" i="3"/>
  <c r="AU156" i="3"/>
  <c r="AP156" i="3"/>
  <c r="AM156" i="3"/>
  <c r="BE156" i="3" s="1"/>
  <c r="AF156" i="3"/>
  <c r="AD156" i="3"/>
  <c r="AC156" i="3"/>
  <c r="R156" i="3"/>
  <c r="Q156" i="3"/>
  <c r="P156" i="3"/>
  <c r="AO155" i="3"/>
  <c r="AN155" i="3"/>
  <c r="AL155" i="3"/>
  <c r="AK155" i="3"/>
  <c r="AF155" i="3"/>
  <c r="O155" i="3"/>
  <c r="BG154" i="3"/>
  <c r="BE154" i="3"/>
  <c r="BD154" i="3"/>
  <c r="AU154" i="3"/>
  <c r="AP154" i="3"/>
  <c r="AF154" i="3"/>
  <c r="AD154" i="3"/>
  <c r="AC154" i="3"/>
  <c r="R154" i="3"/>
  <c r="Q154" i="3"/>
  <c r="P154" i="3"/>
  <c r="BG153" i="3"/>
  <c r="BE153" i="3"/>
  <c r="BD153" i="3"/>
  <c r="BC153" i="3"/>
  <c r="AU153" i="3"/>
  <c r="AP153" i="3"/>
  <c r="AF153" i="3"/>
  <c r="AD153" i="3"/>
  <c r="AC153" i="3"/>
  <c r="R153" i="3"/>
  <c r="Q153" i="3"/>
  <c r="P153" i="3"/>
  <c r="BG152" i="3"/>
  <c r="BE152" i="3"/>
  <c r="BD152" i="3"/>
  <c r="BC152" i="3"/>
  <c r="AU152" i="3"/>
  <c r="AP152" i="3"/>
  <c r="AF152" i="3"/>
  <c r="AD152" i="3"/>
  <c r="AC152" i="3"/>
  <c r="R152" i="3"/>
  <c r="Q152" i="3"/>
  <c r="P152" i="3"/>
  <c r="BG151" i="3"/>
  <c r="BE151" i="3"/>
  <c r="BD151" i="3"/>
  <c r="BC151" i="3"/>
  <c r="AU151" i="3"/>
  <c r="AP151" i="3"/>
  <c r="AF151" i="3"/>
  <c r="AD151" i="3"/>
  <c r="AC151" i="3"/>
  <c r="R151" i="3"/>
  <c r="Q151" i="3"/>
  <c r="P151" i="3"/>
  <c r="AO150" i="3"/>
  <c r="AN150" i="3"/>
  <c r="AM150" i="3"/>
  <c r="AL150" i="3"/>
  <c r="AF150" i="3"/>
  <c r="O150" i="3"/>
  <c r="BG146" i="3"/>
  <c r="BE146" i="3"/>
  <c r="BD146" i="3"/>
  <c r="AU146" i="3"/>
  <c r="AP146" i="3"/>
  <c r="AF146" i="3"/>
  <c r="AD146" i="3"/>
  <c r="AC146" i="3"/>
  <c r="R146" i="3"/>
  <c r="Q146" i="3"/>
  <c r="P146" i="3"/>
  <c r="O146" i="3"/>
  <c r="BG145" i="3"/>
  <c r="BE145" i="3"/>
  <c r="BD145" i="3"/>
  <c r="AF145" i="3"/>
  <c r="AD145" i="3"/>
  <c r="AC145" i="3"/>
  <c r="R145" i="3"/>
  <c r="Q145" i="3"/>
  <c r="P145" i="3"/>
  <c r="BG144" i="3"/>
  <c r="BE144" i="3"/>
  <c r="BD144" i="3"/>
  <c r="AF144" i="3"/>
  <c r="AD144" i="3"/>
  <c r="AC144" i="3"/>
  <c r="R144" i="3"/>
  <c r="Q144" i="3"/>
  <c r="P144" i="3"/>
  <c r="O144" i="3"/>
  <c r="BG143" i="3"/>
  <c r="BE143" i="3"/>
  <c r="BD143" i="3"/>
  <c r="AU143" i="3"/>
  <c r="AP143" i="3"/>
  <c r="AF143" i="3"/>
  <c r="AD143" i="3"/>
  <c r="AC143" i="3"/>
  <c r="R143" i="3"/>
  <c r="Q143" i="3"/>
  <c r="P143" i="3"/>
  <c r="BG142" i="3"/>
  <c r="BE142" i="3"/>
  <c r="BD142" i="3"/>
  <c r="AU142" i="3"/>
  <c r="AP142" i="3"/>
  <c r="AF142" i="3"/>
  <c r="AD142" i="3"/>
  <c r="AC142" i="3"/>
  <c r="R142" i="3"/>
  <c r="Q142" i="3"/>
  <c r="P142" i="3"/>
  <c r="BG141" i="3"/>
  <c r="BE141" i="3"/>
  <c r="BD141" i="3"/>
  <c r="AU141" i="3"/>
  <c r="AP141" i="3"/>
  <c r="AF141" i="3"/>
  <c r="AD141" i="3"/>
  <c r="AC141" i="3"/>
  <c r="R141" i="3"/>
  <c r="AO140" i="3"/>
  <c r="AN140" i="3"/>
  <c r="AM140" i="3"/>
  <c r="AL140" i="3"/>
  <c r="AF140" i="3"/>
  <c r="BG139" i="3"/>
  <c r="BE139" i="3"/>
  <c r="BD139" i="3"/>
  <c r="AF139" i="3"/>
  <c r="AD139" i="3"/>
  <c r="AC139" i="3"/>
  <c r="R139" i="3"/>
  <c r="Q139" i="3"/>
  <c r="P139" i="3"/>
  <c r="O139" i="3"/>
  <c r="O136" i="3" s="1"/>
  <c r="BG138" i="3"/>
  <c r="BE138" i="3"/>
  <c r="BD138" i="3"/>
  <c r="AU138" i="3"/>
  <c r="AP138" i="3"/>
  <c r="AF138" i="3"/>
  <c r="AD138" i="3"/>
  <c r="AC138" i="3"/>
  <c r="R138" i="3"/>
  <c r="Q138" i="3"/>
  <c r="P138" i="3"/>
  <c r="BG137" i="3"/>
  <c r="BD137" i="3"/>
  <c r="AU137" i="3"/>
  <c r="AP137" i="3"/>
  <c r="AM137" i="3"/>
  <c r="BE137" i="3" s="1"/>
  <c r="AF137" i="3"/>
  <c r="AD137" i="3"/>
  <c r="AC137" i="3"/>
  <c r="R137" i="3"/>
  <c r="Q137" i="3"/>
  <c r="P137" i="3"/>
  <c r="AO136" i="3"/>
  <c r="AN136" i="3"/>
  <c r="AL136" i="3"/>
  <c r="AK136" i="3"/>
  <c r="AF136" i="3"/>
  <c r="BG135" i="3"/>
  <c r="BE135" i="3"/>
  <c r="BD135" i="3"/>
  <c r="BC135" i="3"/>
  <c r="AF135" i="3"/>
  <c r="AD135" i="3"/>
  <c r="AC135" i="3"/>
  <c r="R135" i="3"/>
  <c r="Q135" i="3"/>
  <c r="P135" i="3"/>
  <c r="BG134" i="3"/>
  <c r="BE134" i="3"/>
  <c r="BD134" i="3"/>
  <c r="AU134" i="3"/>
  <c r="AP134" i="3"/>
  <c r="AF134" i="3"/>
  <c r="AD134" i="3"/>
  <c r="AC134" i="3"/>
  <c r="R134" i="3"/>
  <c r="Q134" i="3"/>
  <c r="P134" i="3"/>
  <c r="BG133" i="3"/>
  <c r="BE133" i="3"/>
  <c r="BD133" i="3"/>
  <c r="AU133" i="3"/>
  <c r="AP133" i="3"/>
  <c r="AF133" i="3"/>
  <c r="AD133" i="3"/>
  <c r="AC133" i="3"/>
  <c r="R133" i="3"/>
  <c r="Q133" i="3"/>
  <c r="P133" i="3"/>
  <c r="BG132" i="3"/>
  <c r="BE132" i="3"/>
  <c r="BD132" i="3"/>
  <c r="AF132" i="3"/>
  <c r="AD132" i="3"/>
  <c r="AC132" i="3"/>
  <c r="R132" i="3"/>
  <c r="Q132" i="3"/>
  <c r="P132" i="3"/>
  <c r="BG131" i="3"/>
  <c r="BE131" i="3"/>
  <c r="BD131" i="3"/>
  <c r="AU131" i="3"/>
  <c r="AP131" i="3"/>
  <c r="AF131" i="3"/>
  <c r="AD131" i="3"/>
  <c r="AC131" i="3"/>
  <c r="R131" i="3"/>
  <c r="P131" i="3"/>
  <c r="BG130" i="3"/>
  <c r="BD130" i="3"/>
  <c r="BC130" i="3"/>
  <c r="AU130" i="3"/>
  <c r="AP130" i="3"/>
  <c r="AM130" i="3"/>
  <c r="AF130" i="3"/>
  <c r="AD130" i="3"/>
  <c r="AC130" i="3"/>
  <c r="R130" i="3"/>
  <c r="Q130" i="3"/>
  <c r="P130" i="3"/>
  <c r="BB129" i="3"/>
  <c r="BB127" i="3" s="1"/>
  <c r="BA129" i="3"/>
  <c r="BA127" i="3" s="1"/>
  <c r="AZ129" i="3"/>
  <c r="AZ127" i="3" s="1"/>
  <c r="AY129" i="3"/>
  <c r="AY127" i="3" s="1"/>
  <c r="AX129" i="3"/>
  <c r="AX127" i="3" s="1"/>
  <c r="AW129" i="3"/>
  <c r="AW127" i="3" s="1"/>
  <c r="AV129" i="3"/>
  <c r="AV127" i="3" s="1"/>
  <c r="AS129" i="3"/>
  <c r="AS127" i="3" s="1"/>
  <c r="AR129" i="3"/>
  <c r="AR127" i="3" s="1"/>
  <c r="AQ129" i="3"/>
  <c r="AQ127" i="3" s="1"/>
  <c r="AO129" i="3"/>
  <c r="AN129" i="3"/>
  <c r="AL129" i="3"/>
  <c r="AK129" i="3"/>
  <c r="AF129" i="3"/>
  <c r="O129" i="3"/>
  <c r="BG125" i="3"/>
  <c r="BE125" i="3"/>
  <c r="BD125" i="3"/>
  <c r="BC125" i="3"/>
  <c r="AU125" i="3"/>
  <c r="AP125" i="3"/>
  <c r="AF125" i="3"/>
  <c r="AD125" i="3"/>
  <c r="AC125" i="3"/>
  <c r="R125" i="3"/>
  <c r="Q125" i="3"/>
  <c r="P125" i="3"/>
  <c r="BG124" i="3"/>
  <c r="BD124" i="3"/>
  <c r="BC124" i="3"/>
  <c r="AU124" i="3"/>
  <c r="AP124" i="3"/>
  <c r="AM124" i="3"/>
  <c r="BE124" i="3" s="1"/>
  <c r="AF124" i="3"/>
  <c r="AD124" i="3"/>
  <c r="AC124" i="3"/>
  <c r="R124" i="3"/>
  <c r="Q124" i="3"/>
  <c r="P124" i="3"/>
  <c r="BG123" i="3"/>
  <c r="BE123" i="3"/>
  <c r="BD123" i="3"/>
  <c r="AU123" i="3"/>
  <c r="AP123" i="3"/>
  <c r="AF123" i="3"/>
  <c r="AD123" i="3"/>
  <c r="AC123" i="3"/>
  <c r="R123" i="3"/>
  <c r="Q123" i="3"/>
  <c r="P123" i="3"/>
  <c r="BG122" i="3"/>
  <c r="BE122" i="3"/>
  <c r="BD122" i="3"/>
  <c r="AU122" i="3"/>
  <c r="AP122" i="3"/>
  <c r="AF122" i="3"/>
  <c r="AD122" i="3"/>
  <c r="AC122" i="3"/>
  <c r="R122" i="3"/>
  <c r="Q122" i="3"/>
  <c r="P122" i="3"/>
  <c r="BG121" i="3"/>
  <c r="BD121" i="3"/>
  <c r="BC121" i="3"/>
  <c r="AU121" i="3"/>
  <c r="AP121" i="3"/>
  <c r="AM121" i="3"/>
  <c r="BE121" i="3" s="1"/>
  <c r="AF121" i="3"/>
  <c r="AD121" i="3"/>
  <c r="AC121" i="3"/>
  <c r="R121" i="3"/>
  <c r="Q121" i="3"/>
  <c r="P121" i="3"/>
  <c r="BB120" i="3"/>
  <c r="BA120" i="3"/>
  <c r="AZ120" i="3"/>
  <c r="AY120" i="3"/>
  <c r="AX120" i="3"/>
  <c r="AW120" i="3"/>
  <c r="AV120" i="3"/>
  <c r="AS120" i="3"/>
  <c r="AR120" i="3"/>
  <c r="AQ120" i="3"/>
  <c r="AO120" i="3"/>
  <c r="AN120" i="3"/>
  <c r="AL120" i="3"/>
  <c r="AK120" i="3"/>
  <c r="AF120" i="3"/>
  <c r="O120" i="3"/>
  <c r="BG119" i="3"/>
  <c r="BE119" i="3"/>
  <c r="BD119" i="3"/>
  <c r="BC119" i="3"/>
  <c r="AU119" i="3"/>
  <c r="AP119" i="3"/>
  <c r="AF119" i="3"/>
  <c r="AD119" i="3"/>
  <c r="AC119" i="3"/>
  <c r="R119" i="3"/>
  <c r="Q119" i="3"/>
  <c r="P119" i="3"/>
  <c r="BG118" i="3"/>
  <c r="BE118" i="3"/>
  <c r="BD118" i="3"/>
  <c r="BC118" i="3"/>
  <c r="AU118" i="3"/>
  <c r="AP118" i="3"/>
  <c r="AF118" i="3"/>
  <c r="AD118" i="3"/>
  <c r="AC118" i="3"/>
  <c r="R118" i="3"/>
  <c r="Q118" i="3"/>
  <c r="P118" i="3"/>
  <c r="BG117" i="3"/>
  <c r="BE117" i="3"/>
  <c r="BD117" i="3"/>
  <c r="BC117" i="3"/>
  <c r="AU117" i="3"/>
  <c r="AP117" i="3"/>
  <c r="AF117" i="3"/>
  <c r="AD117" i="3"/>
  <c r="AC117" i="3"/>
  <c r="R117" i="3"/>
  <c r="Q117" i="3"/>
  <c r="P117" i="3"/>
  <c r="O117" i="3"/>
  <c r="BG116" i="3"/>
  <c r="BE116" i="3"/>
  <c r="BD116" i="3"/>
  <c r="AU116" i="3"/>
  <c r="AP116" i="3"/>
  <c r="AF116" i="3"/>
  <c r="AD116" i="3"/>
  <c r="AC116" i="3"/>
  <c r="R116" i="3"/>
  <c r="Q116" i="3"/>
  <c r="P116" i="3"/>
  <c r="BG115" i="3"/>
  <c r="BE115" i="3"/>
  <c r="BD115" i="3"/>
  <c r="AU115" i="3"/>
  <c r="AP115" i="3"/>
  <c r="AF115" i="3"/>
  <c r="AD115" i="3"/>
  <c r="AC115" i="3"/>
  <c r="R115" i="3"/>
  <c r="Q115" i="3"/>
  <c r="P115" i="3"/>
  <c r="BG114" i="3"/>
  <c r="BE114" i="3"/>
  <c r="BD114" i="3"/>
  <c r="AU114" i="3"/>
  <c r="AP114" i="3"/>
  <c r="AF114" i="3"/>
  <c r="AD114" i="3"/>
  <c r="AC114" i="3"/>
  <c r="R114" i="3"/>
  <c r="Q114" i="3"/>
  <c r="P114" i="3"/>
  <c r="O114" i="3"/>
  <c r="BG113" i="3"/>
  <c r="BD113" i="3"/>
  <c r="BC113" i="3"/>
  <c r="AU113" i="3"/>
  <c r="AP113" i="3"/>
  <c r="AM113" i="3"/>
  <c r="BE113" i="3" s="1"/>
  <c r="AF113" i="3"/>
  <c r="AD113" i="3"/>
  <c r="AC113" i="3"/>
  <c r="R113" i="3"/>
  <c r="Q113" i="3"/>
  <c r="P113" i="3"/>
  <c r="BB112" i="3"/>
  <c r="BA112" i="3"/>
  <c r="AZ112" i="3"/>
  <c r="AY112" i="3"/>
  <c r="AX112" i="3"/>
  <c r="AW112" i="3"/>
  <c r="AV112" i="3"/>
  <c r="AS112" i="3"/>
  <c r="AR112" i="3"/>
  <c r="AQ112" i="3"/>
  <c r="AN112" i="3"/>
  <c r="AL112" i="3"/>
  <c r="AK112" i="3"/>
  <c r="AF112" i="3"/>
  <c r="BG111" i="3"/>
  <c r="BE111" i="3"/>
  <c r="BD111" i="3"/>
  <c r="BC111" i="3"/>
  <c r="AF111" i="3"/>
  <c r="AD111" i="3"/>
  <c r="AC111" i="3"/>
  <c r="R111" i="3"/>
  <c r="Q111" i="3"/>
  <c r="P111" i="3"/>
  <c r="BG110" i="3"/>
  <c r="BE110" i="3"/>
  <c r="BD110" i="3"/>
  <c r="BC110" i="3"/>
  <c r="AU110" i="3"/>
  <c r="AP110" i="3"/>
  <c r="AF110" i="3"/>
  <c r="AD110" i="3"/>
  <c r="AC110" i="3"/>
  <c r="R110" i="3"/>
  <c r="Q110" i="3"/>
  <c r="P110" i="3"/>
  <c r="BG109" i="3"/>
  <c r="BE109" i="3"/>
  <c r="BD109" i="3"/>
  <c r="BC109" i="3"/>
  <c r="AU109" i="3"/>
  <c r="AP109" i="3"/>
  <c r="AF109" i="3"/>
  <c r="AD109" i="3"/>
  <c r="AC109" i="3"/>
  <c r="R109" i="3"/>
  <c r="Q109" i="3"/>
  <c r="P109" i="3"/>
  <c r="BG108" i="3"/>
  <c r="BE108" i="3"/>
  <c r="BD108" i="3"/>
  <c r="BC108" i="3"/>
  <c r="AU108" i="3"/>
  <c r="AP108" i="3"/>
  <c r="AF108" i="3"/>
  <c r="AD108" i="3"/>
  <c r="AC108" i="3"/>
  <c r="R108" i="3"/>
  <c r="Q108" i="3"/>
  <c r="P108" i="3"/>
  <c r="BG107" i="3"/>
  <c r="BE107" i="3"/>
  <c r="BD107" i="3"/>
  <c r="AU107" i="3"/>
  <c r="AP107" i="3"/>
  <c r="AF107" i="3"/>
  <c r="AD107" i="3"/>
  <c r="AC107" i="3"/>
  <c r="R107" i="3"/>
  <c r="Q107" i="3"/>
  <c r="P107" i="3"/>
  <c r="BG106" i="3"/>
  <c r="BE106" i="3"/>
  <c r="BD106" i="3"/>
  <c r="AU106" i="3"/>
  <c r="AP106" i="3"/>
  <c r="AF106" i="3"/>
  <c r="AD106" i="3"/>
  <c r="AC106" i="3"/>
  <c r="R106" i="3"/>
  <c r="Q106" i="3"/>
  <c r="P106" i="3"/>
  <c r="BG105" i="3"/>
  <c r="BE105" i="3"/>
  <c r="BD105" i="3"/>
  <c r="AU105" i="3"/>
  <c r="AP105" i="3"/>
  <c r="AF105" i="3"/>
  <c r="AD105" i="3"/>
  <c r="AC105" i="3"/>
  <c r="R105" i="3"/>
  <c r="Q105" i="3"/>
  <c r="P105" i="3"/>
  <c r="BG104" i="3"/>
  <c r="BE104" i="3"/>
  <c r="BD104" i="3"/>
  <c r="AU104" i="3"/>
  <c r="AP104" i="3"/>
  <c r="AF104" i="3"/>
  <c r="AD104" i="3"/>
  <c r="AC104" i="3"/>
  <c r="R104" i="3"/>
  <c r="Q104" i="3"/>
  <c r="P104" i="3"/>
  <c r="BG103" i="3"/>
  <c r="BD103" i="3"/>
  <c r="BC103" i="3"/>
  <c r="AU103" i="3"/>
  <c r="AP103" i="3"/>
  <c r="AM103" i="3"/>
  <c r="BE103" i="3" s="1"/>
  <c r="AF103" i="3"/>
  <c r="AD103" i="3"/>
  <c r="AC103" i="3"/>
  <c r="R103" i="3"/>
  <c r="Q103" i="3"/>
  <c r="P103" i="3"/>
  <c r="BB102" i="3"/>
  <c r="BA102" i="3"/>
  <c r="AZ102" i="3"/>
  <c r="AY102" i="3"/>
  <c r="AX102" i="3"/>
  <c r="AW102" i="3"/>
  <c r="AV102" i="3"/>
  <c r="AS102" i="3"/>
  <c r="AR102" i="3"/>
  <c r="AQ102" i="3"/>
  <c r="AN102" i="3"/>
  <c r="AL102" i="3"/>
  <c r="AF102" i="3"/>
  <c r="O102" i="3"/>
  <c r="BG98" i="3"/>
  <c r="BE98" i="3"/>
  <c r="BD98" i="3"/>
  <c r="BC98" i="3"/>
  <c r="AF98" i="3"/>
  <c r="AD98" i="3"/>
  <c r="AC98" i="3"/>
  <c r="R98" i="3"/>
  <c r="Q98" i="3"/>
  <c r="P98" i="3"/>
  <c r="O98" i="3"/>
  <c r="BG97" i="3"/>
  <c r="BE97" i="3"/>
  <c r="BD97" i="3"/>
  <c r="BC97" i="3"/>
  <c r="AU97" i="3"/>
  <c r="AP97" i="3"/>
  <c r="AF97" i="3"/>
  <c r="AD97" i="3"/>
  <c r="AC97" i="3"/>
  <c r="R97" i="3"/>
  <c r="Q97" i="3"/>
  <c r="P97" i="3"/>
  <c r="O97" i="3"/>
  <c r="BG96" i="3"/>
  <c r="BE96" i="3"/>
  <c r="BD96" i="3"/>
  <c r="BC96" i="3"/>
  <c r="AU96" i="3"/>
  <c r="AP96" i="3"/>
  <c r="AF96" i="3"/>
  <c r="AD96" i="3"/>
  <c r="AC96" i="3"/>
  <c r="R96" i="3"/>
  <c r="Q96" i="3"/>
  <c r="P96" i="3"/>
  <c r="O96" i="3"/>
  <c r="BE95" i="3"/>
  <c r="BD95" i="3"/>
  <c r="BG95" i="3"/>
  <c r="AP95" i="3"/>
  <c r="AF95" i="3"/>
  <c r="AD95" i="3"/>
  <c r="AC95" i="3"/>
  <c r="R95" i="3"/>
  <c r="Q95" i="3"/>
  <c r="P95" i="3"/>
  <c r="BG94" i="3"/>
  <c r="BE94" i="3"/>
  <c r="BD94" i="3"/>
  <c r="AU94" i="3"/>
  <c r="AP94" i="3"/>
  <c r="AF94" i="3"/>
  <c r="AD94" i="3"/>
  <c r="AC94" i="3"/>
  <c r="R94" i="3"/>
  <c r="Q94" i="3"/>
  <c r="P94" i="3"/>
  <c r="BG93" i="3"/>
  <c r="BE93" i="3"/>
  <c r="BD93" i="3"/>
  <c r="AU93" i="3"/>
  <c r="AP93" i="3"/>
  <c r="AF93" i="3"/>
  <c r="AD93" i="3"/>
  <c r="AC93" i="3"/>
  <c r="R93" i="3"/>
  <c r="Q93" i="3"/>
  <c r="P93" i="3"/>
  <c r="O93" i="3"/>
  <c r="BG92" i="3"/>
  <c r="BD92" i="3"/>
  <c r="BC92" i="3"/>
  <c r="AU92" i="3"/>
  <c r="AP92" i="3"/>
  <c r="AM92" i="3"/>
  <c r="AF92" i="3"/>
  <c r="AD92" i="3"/>
  <c r="AC92" i="3"/>
  <c r="R92" i="3"/>
  <c r="Q92" i="3"/>
  <c r="P92" i="3"/>
  <c r="BB91" i="3"/>
  <c r="BA91" i="3"/>
  <c r="AZ91" i="3"/>
  <c r="AY91" i="3"/>
  <c r="AX91" i="3"/>
  <c r="AW91" i="3"/>
  <c r="AV91" i="3"/>
  <c r="AS91" i="3"/>
  <c r="AR91" i="3"/>
  <c r="AQ91" i="3"/>
  <c r="AO91" i="3"/>
  <c r="AN91" i="3"/>
  <c r="AL91" i="3"/>
  <c r="AK91" i="3"/>
  <c r="AF91" i="3"/>
  <c r="BG90" i="3"/>
  <c r="BE90" i="3"/>
  <c r="BD90" i="3"/>
  <c r="BC90" i="3"/>
  <c r="AU90" i="3"/>
  <c r="AP90" i="3"/>
  <c r="AF90" i="3"/>
  <c r="AD90" i="3"/>
  <c r="AC90" i="3"/>
  <c r="R90" i="3"/>
  <c r="Q90" i="3"/>
  <c r="P90" i="3"/>
  <c r="O90" i="3"/>
  <c r="BG89" i="3"/>
  <c r="BE89" i="3"/>
  <c r="BD89" i="3"/>
  <c r="BC89" i="3"/>
  <c r="AU89" i="3"/>
  <c r="AP89" i="3"/>
  <c r="AF89" i="3"/>
  <c r="AD89" i="3"/>
  <c r="AC89" i="3"/>
  <c r="R89" i="3"/>
  <c r="Q89" i="3"/>
  <c r="P89" i="3"/>
  <c r="BG88" i="3"/>
  <c r="BE88" i="3"/>
  <c r="BD88" i="3"/>
  <c r="BC88" i="3"/>
  <c r="AU88" i="3"/>
  <c r="AP88" i="3"/>
  <c r="AF88" i="3"/>
  <c r="AD88" i="3"/>
  <c r="AC88" i="3"/>
  <c r="R88" i="3"/>
  <c r="Q88" i="3"/>
  <c r="P88" i="3"/>
  <c r="BG87" i="3"/>
  <c r="BE87" i="3"/>
  <c r="BD87" i="3"/>
  <c r="AU87" i="3"/>
  <c r="AP87" i="3"/>
  <c r="AF87" i="3"/>
  <c r="AD87" i="3"/>
  <c r="AC87" i="3"/>
  <c r="R87" i="3"/>
  <c r="Q87" i="3"/>
  <c r="P87" i="3"/>
  <c r="BG86" i="3"/>
  <c r="BE86" i="3"/>
  <c r="BD86" i="3"/>
  <c r="AU86" i="3"/>
  <c r="AP86" i="3"/>
  <c r="AF86" i="3"/>
  <c r="AD86" i="3"/>
  <c r="AC86" i="3"/>
  <c r="R86" i="3"/>
  <c r="Q86" i="3"/>
  <c r="P86" i="3"/>
  <c r="BG85" i="3"/>
  <c r="BE85" i="3"/>
  <c r="BD85" i="3"/>
  <c r="AU85" i="3"/>
  <c r="AP85" i="3"/>
  <c r="AF85" i="3"/>
  <c r="AD85" i="3"/>
  <c r="AC85" i="3"/>
  <c r="R85" i="3"/>
  <c r="Q85" i="3"/>
  <c r="P85" i="3"/>
  <c r="O85" i="3"/>
  <c r="BG84" i="3"/>
  <c r="BD84" i="3"/>
  <c r="BC84" i="3"/>
  <c r="AU84" i="3"/>
  <c r="AP84" i="3"/>
  <c r="AM84" i="3"/>
  <c r="BE84" i="3" s="1"/>
  <c r="AF84" i="3"/>
  <c r="AD84" i="3"/>
  <c r="AC84" i="3"/>
  <c r="R84" i="3"/>
  <c r="Q84" i="3"/>
  <c r="P84" i="3"/>
  <c r="BB83" i="3"/>
  <c r="BA83" i="3"/>
  <c r="AZ83" i="3"/>
  <c r="AY83" i="3"/>
  <c r="AX83" i="3"/>
  <c r="AW83" i="3"/>
  <c r="AV83" i="3"/>
  <c r="AS83" i="3"/>
  <c r="AR83" i="3"/>
  <c r="AQ83" i="3"/>
  <c r="AO83" i="3"/>
  <c r="AN83" i="3"/>
  <c r="AL83" i="3"/>
  <c r="AK83" i="3"/>
  <c r="AF83" i="3"/>
  <c r="BG79" i="3"/>
  <c r="BE79" i="3"/>
  <c r="BD79" i="3"/>
  <c r="BC79" i="3"/>
  <c r="AU79" i="3"/>
  <c r="AP79" i="3"/>
  <c r="AF79" i="3"/>
  <c r="AD79" i="3"/>
  <c r="AC79" i="3"/>
  <c r="R79" i="3"/>
  <c r="Q79" i="3"/>
  <c r="P79" i="3"/>
  <c r="BE78" i="3"/>
  <c r="BD78" i="3"/>
  <c r="BC78" i="3"/>
  <c r="BG78" i="3"/>
  <c r="AP78" i="3"/>
  <c r="AF78" i="3"/>
  <c r="AD78" i="3"/>
  <c r="AC78" i="3"/>
  <c r="R78" i="3"/>
  <c r="Q78" i="3"/>
  <c r="P78" i="3"/>
  <c r="BG77" i="3"/>
  <c r="BE77" i="3"/>
  <c r="BD77" i="3"/>
  <c r="BC77" i="3"/>
  <c r="AU77" i="3"/>
  <c r="AP77" i="3"/>
  <c r="AF77" i="3"/>
  <c r="AD77" i="3"/>
  <c r="AC77" i="3"/>
  <c r="R77" i="3"/>
  <c r="Q77" i="3"/>
  <c r="P77" i="3"/>
  <c r="BG76" i="3"/>
  <c r="BD76" i="3"/>
  <c r="BC76" i="3"/>
  <c r="AU76" i="3"/>
  <c r="AP76" i="3"/>
  <c r="AM76" i="3"/>
  <c r="BE76" i="3" s="1"/>
  <c r="AF76" i="3"/>
  <c r="AD76" i="3"/>
  <c r="AC76" i="3"/>
  <c r="R76" i="3"/>
  <c r="Q76" i="3"/>
  <c r="P76" i="3"/>
  <c r="BB75" i="3"/>
  <c r="BA75" i="3"/>
  <c r="AZ75" i="3"/>
  <c r="AY75" i="3"/>
  <c r="AX75" i="3"/>
  <c r="AW75" i="3"/>
  <c r="AV75" i="3"/>
  <c r="AS75" i="3"/>
  <c r="AR75" i="3"/>
  <c r="AQ75" i="3"/>
  <c r="AO75" i="3"/>
  <c r="AN75" i="3"/>
  <c r="AL75" i="3"/>
  <c r="AK75" i="3"/>
  <c r="AF75" i="3"/>
  <c r="O75" i="3"/>
  <c r="BG74" i="3"/>
  <c r="BE74" i="3"/>
  <c r="BD74" i="3"/>
  <c r="BC74" i="3"/>
  <c r="AF74" i="3"/>
  <c r="AD74" i="3"/>
  <c r="AC74" i="3"/>
  <c r="R74" i="3"/>
  <c r="Q74" i="3"/>
  <c r="P74" i="3"/>
  <c r="BG73" i="3"/>
  <c r="BE73" i="3"/>
  <c r="BD73" i="3"/>
  <c r="BC73" i="3"/>
  <c r="AF73" i="3"/>
  <c r="AD73" i="3"/>
  <c r="AC73" i="3"/>
  <c r="R73" i="3"/>
  <c r="P73" i="3"/>
  <c r="BG72" i="3"/>
  <c r="BE72" i="3"/>
  <c r="BD72" i="3"/>
  <c r="BC72" i="3"/>
  <c r="AF72" i="3"/>
  <c r="AD72" i="3"/>
  <c r="AC72" i="3"/>
  <c r="R72" i="3"/>
  <c r="Q72" i="3"/>
  <c r="P72" i="3"/>
  <c r="BE71" i="3"/>
  <c r="BD71" i="3"/>
  <c r="BG71" i="3"/>
  <c r="AP71" i="3"/>
  <c r="AF71" i="3"/>
  <c r="AD71" i="3"/>
  <c r="AC71" i="3"/>
  <c r="R71" i="3"/>
  <c r="Q71" i="3"/>
  <c r="P71" i="3"/>
  <c r="BE70" i="3"/>
  <c r="BD70" i="3"/>
  <c r="AP70" i="3"/>
  <c r="AF70" i="3"/>
  <c r="AD70" i="3"/>
  <c r="AC70" i="3"/>
  <c r="R70" i="3"/>
  <c r="Q70" i="3"/>
  <c r="P70" i="3"/>
  <c r="BG69" i="3"/>
  <c r="BE69" i="3"/>
  <c r="BD69" i="3"/>
  <c r="AU69" i="3"/>
  <c r="AP69" i="3"/>
  <c r="AF69" i="3"/>
  <c r="AD69" i="3"/>
  <c r="AC69" i="3"/>
  <c r="R69" i="3"/>
  <c r="Q69" i="3"/>
  <c r="P69" i="3"/>
  <c r="BG68" i="3"/>
  <c r="BD68" i="3"/>
  <c r="BC68" i="3"/>
  <c r="AU68" i="3"/>
  <c r="AP68" i="3"/>
  <c r="AM68" i="3"/>
  <c r="BE68" i="3" s="1"/>
  <c r="AF68" i="3"/>
  <c r="AD68" i="3"/>
  <c r="AC68" i="3"/>
  <c r="R68" i="3"/>
  <c r="Q68" i="3"/>
  <c r="P68" i="3"/>
  <c r="BB67" i="3"/>
  <c r="BA67" i="3"/>
  <c r="AZ67" i="3"/>
  <c r="AY67" i="3"/>
  <c r="AX67" i="3"/>
  <c r="AW67" i="3"/>
  <c r="AV67" i="3"/>
  <c r="AS67" i="3"/>
  <c r="AR67" i="3"/>
  <c r="AQ67" i="3"/>
  <c r="AO67" i="3"/>
  <c r="AN67" i="3"/>
  <c r="AL67" i="3"/>
  <c r="AK67" i="3"/>
  <c r="AF67" i="3"/>
  <c r="O67" i="3"/>
  <c r="BG63" i="3"/>
  <c r="BE63" i="3"/>
  <c r="BD63" i="3"/>
  <c r="AU63" i="3"/>
  <c r="AP63" i="3"/>
  <c r="AF63" i="3"/>
  <c r="AD63" i="3"/>
  <c r="AC63" i="3"/>
  <c r="R63" i="3"/>
  <c r="Q63" i="3"/>
  <c r="P63" i="3"/>
  <c r="BG62" i="3"/>
  <c r="BE62" i="3"/>
  <c r="BD62" i="3"/>
  <c r="AU62" i="3"/>
  <c r="AP62" i="3"/>
  <c r="AF62" i="3"/>
  <c r="AD62" i="3"/>
  <c r="AC62" i="3"/>
  <c r="R62" i="3"/>
  <c r="Q62" i="3"/>
  <c r="P62" i="3"/>
  <c r="BG61" i="3"/>
  <c r="BE61" i="3"/>
  <c r="BD61" i="3"/>
  <c r="AU61" i="3"/>
  <c r="AP61" i="3"/>
  <c r="AF61" i="3"/>
  <c r="AD61" i="3"/>
  <c r="AC61" i="3"/>
  <c r="R61" i="3"/>
  <c r="Q61" i="3"/>
  <c r="P61" i="3"/>
  <c r="BG60" i="3"/>
  <c r="BE60" i="3"/>
  <c r="BD60" i="3"/>
  <c r="AU60" i="3"/>
  <c r="AP60" i="3"/>
  <c r="AF60" i="3"/>
  <c r="AD60" i="3"/>
  <c r="AC60" i="3"/>
  <c r="R60" i="3"/>
  <c r="Q60" i="3"/>
  <c r="P60" i="3"/>
  <c r="BG59" i="3"/>
  <c r="BE59" i="3"/>
  <c r="BD59" i="3"/>
  <c r="AU59" i="3"/>
  <c r="AP59" i="3"/>
  <c r="AF59" i="3"/>
  <c r="AD59" i="3"/>
  <c r="AC59" i="3"/>
  <c r="R59" i="3"/>
  <c r="Q59" i="3"/>
  <c r="P59" i="3"/>
  <c r="BG58" i="3"/>
  <c r="BE58" i="3"/>
  <c r="BD58" i="3"/>
  <c r="AU58" i="3"/>
  <c r="AP58" i="3"/>
  <c r="AF58" i="3"/>
  <c r="AD58" i="3"/>
  <c r="AC58" i="3"/>
  <c r="R58" i="3"/>
  <c r="Q58" i="3"/>
  <c r="P58" i="3"/>
  <c r="BE57" i="3"/>
  <c r="BD57" i="3"/>
  <c r="BG57" i="3"/>
  <c r="AP57" i="3"/>
  <c r="AF57" i="3"/>
  <c r="AD57" i="3"/>
  <c r="AC57" i="3"/>
  <c r="R57" i="3"/>
  <c r="Q57" i="3"/>
  <c r="P57" i="3"/>
  <c r="BG56" i="3"/>
  <c r="BE56" i="3"/>
  <c r="BD56" i="3"/>
  <c r="AF56" i="3"/>
  <c r="AD56" i="3"/>
  <c r="AC56" i="3"/>
  <c r="R56" i="3"/>
  <c r="Q56" i="3"/>
  <c r="P56" i="3"/>
  <c r="BG55" i="3"/>
  <c r="BD55" i="3"/>
  <c r="AU55" i="3"/>
  <c r="AP55" i="3"/>
  <c r="AM55" i="3"/>
  <c r="AM54" i="3" s="1"/>
  <c r="AF55" i="3"/>
  <c r="AD55" i="3"/>
  <c r="AC55" i="3"/>
  <c r="R55" i="3"/>
  <c r="Q55" i="3"/>
  <c r="P55" i="3"/>
  <c r="BB54" i="3"/>
  <c r="BA54" i="3"/>
  <c r="AZ54" i="3"/>
  <c r="AY54" i="3"/>
  <c r="AX54" i="3"/>
  <c r="AW54" i="3"/>
  <c r="AV54" i="3"/>
  <c r="AO54" i="3"/>
  <c r="AN54" i="3"/>
  <c r="AL54" i="3"/>
  <c r="AK54" i="3"/>
  <c r="AF54" i="3"/>
  <c r="O54" i="3"/>
  <c r="BG53" i="3"/>
  <c r="BE53" i="3"/>
  <c r="BD53" i="3"/>
  <c r="AF53" i="3"/>
  <c r="AD53" i="3"/>
  <c r="AC53" i="3"/>
  <c r="R53" i="3"/>
  <c r="Q53" i="3"/>
  <c r="P53" i="3"/>
  <c r="O53" i="3"/>
  <c r="O46" i="3" s="1"/>
  <c r="BG52" i="3"/>
  <c r="BE52" i="3"/>
  <c r="BD52" i="3"/>
  <c r="AF52" i="3"/>
  <c r="AD52" i="3"/>
  <c r="AC52" i="3"/>
  <c r="R52" i="3"/>
  <c r="Q52" i="3"/>
  <c r="P52" i="3"/>
  <c r="BG51" i="3"/>
  <c r="BE51" i="3"/>
  <c r="BD51" i="3"/>
  <c r="AU51" i="3"/>
  <c r="AP51" i="3"/>
  <c r="AF51" i="3"/>
  <c r="AD51" i="3"/>
  <c r="AC51" i="3"/>
  <c r="R51" i="3"/>
  <c r="Q51" i="3"/>
  <c r="P51" i="3"/>
  <c r="BG50" i="3"/>
  <c r="BE50" i="3"/>
  <c r="BD50" i="3"/>
  <c r="AU50" i="3"/>
  <c r="AP50" i="3"/>
  <c r="AF50" i="3"/>
  <c r="AD50" i="3"/>
  <c r="AC50" i="3"/>
  <c r="R50" i="3"/>
  <c r="Q50" i="3"/>
  <c r="P50" i="3"/>
  <c r="BG49" i="3"/>
  <c r="BE49" i="3"/>
  <c r="BD49" i="3"/>
  <c r="AU49" i="3"/>
  <c r="AP49" i="3"/>
  <c r="AF49" i="3"/>
  <c r="AD49" i="3"/>
  <c r="AC49" i="3"/>
  <c r="R49" i="3"/>
  <c r="Q49" i="3"/>
  <c r="P49" i="3"/>
  <c r="BG48" i="3"/>
  <c r="BE48" i="3"/>
  <c r="BD48" i="3"/>
  <c r="AU48" i="3"/>
  <c r="AP48" i="3"/>
  <c r="AF48" i="3"/>
  <c r="AD48" i="3"/>
  <c r="AC48" i="3"/>
  <c r="R48" i="3"/>
  <c r="Q48" i="3"/>
  <c r="P48" i="3"/>
  <c r="BG47" i="3"/>
  <c r="BD47" i="3"/>
  <c r="AU47" i="3"/>
  <c r="AP47" i="3"/>
  <c r="AM47" i="3"/>
  <c r="BE47" i="3" s="1"/>
  <c r="AF47" i="3"/>
  <c r="AD47" i="3"/>
  <c r="AC47" i="3"/>
  <c r="R47" i="3"/>
  <c r="Q47" i="3"/>
  <c r="P47" i="3"/>
  <c r="BB46" i="3"/>
  <c r="BA46" i="3"/>
  <c r="AZ46" i="3"/>
  <c r="AY46" i="3"/>
  <c r="AX46" i="3"/>
  <c r="AW46" i="3"/>
  <c r="AV46" i="3"/>
  <c r="AO46" i="3"/>
  <c r="AN46" i="3"/>
  <c r="AL46" i="3"/>
  <c r="AK46" i="3"/>
  <c r="AF46" i="3"/>
  <c r="BG45" i="3"/>
  <c r="BE45" i="3"/>
  <c r="BD45" i="3"/>
  <c r="AF45" i="3"/>
  <c r="AD45" i="3"/>
  <c r="AC45" i="3"/>
  <c r="R45" i="3"/>
  <c r="Q45" i="3"/>
  <c r="P45" i="3"/>
  <c r="O45" i="3"/>
  <c r="BG44" i="3"/>
  <c r="BE44" i="3"/>
  <c r="BD44" i="3"/>
  <c r="AF44" i="3"/>
  <c r="AD44" i="3"/>
  <c r="AC44" i="3"/>
  <c r="R44" i="3"/>
  <c r="Q44" i="3"/>
  <c r="P44" i="3"/>
  <c r="O44" i="3"/>
  <c r="BE43" i="3"/>
  <c r="BD43" i="3"/>
  <c r="BG43" i="3"/>
  <c r="AP43" i="3"/>
  <c r="AF43" i="3"/>
  <c r="AD43" i="3"/>
  <c r="AC43" i="3"/>
  <c r="R43" i="3"/>
  <c r="Q43" i="3"/>
  <c r="P43" i="3"/>
  <c r="O43" i="3"/>
  <c r="BG42" i="3"/>
  <c r="BE42" i="3"/>
  <c r="BD42" i="3"/>
  <c r="AU42" i="3"/>
  <c r="AP42" i="3"/>
  <c r="AF42" i="3"/>
  <c r="AD42" i="3"/>
  <c r="AC42" i="3"/>
  <c r="R42" i="3"/>
  <c r="Q42" i="3"/>
  <c r="P42" i="3"/>
  <c r="BG41" i="3"/>
  <c r="BD41" i="3"/>
  <c r="AU41" i="3"/>
  <c r="AP41" i="3"/>
  <c r="AM41" i="3"/>
  <c r="BE41" i="3" s="1"/>
  <c r="AF41" i="3"/>
  <c r="AD41" i="3"/>
  <c r="AC41" i="3"/>
  <c r="R41" i="3"/>
  <c r="Q41" i="3"/>
  <c r="P41" i="3"/>
  <c r="BB40" i="3"/>
  <c r="BA40" i="3"/>
  <c r="AZ40" i="3"/>
  <c r="AY40" i="3"/>
  <c r="AX40" i="3"/>
  <c r="AW40" i="3"/>
  <c r="AV40" i="3"/>
  <c r="AO40" i="3"/>
  <c r="AN40" i="3"/>
  <c r="AL40" i="3"/>
  <c r="AK40" i="3"/>
  <c r="AF40" i="3"/>
  <c r="BG39" i="3"/>
  <c r="BE39" i="3"/>
  <c r="BD39" i="3"/>
  <c r="AU39" i="3"/>
  <c r="AP39" i="3"/>
  <c r="AF39" i="3"/>
  <c r="AD39" i="3"/>
  <c r="AC39" i="3"/>
  <c r="R39" i="3"/>
  <c r="Q39" i="3"/>
  <c r="P39" i="3"/>
  <c r="BG38" i="3"/>
  <c r="BE38" i="3"/>
  <c r="BD38" i="3"/>
  <c r="BC38" i="3"/>
  <c r="AU38" i="3"/>
  <c r="AP38" i="3"/>
  <c r="AF38" i="3"/>
  <c r="AD38" i="3"/>
  <c r="AC38" i="3"/>
  <c r="R38" i="3"/>
  <c r="Q38" i="3"/>
  <c r="P38" i="3"/>
  <c r="BG37" i="3"/>
  <c r="BE37" i="3"/>
  <c r="BD37" i="3"/>
  <c r="BC37" i="3"/>
  <c r="AU37" i="3"/>
  <c r="AP37" i="3"/>
  <c r="AF37" i="3"/>
  <c r="AD37" i="3"/>
  <c r="AC37" i="3"/>
  <c r="R37" i="3"/>
  <c r="Q37" i="3"/>
  <c r="P37" i="3"/>
  <c r="BG36" i="3"/>
  <c r="BE36" i="3"/>
  <c r="BD36" i="3"/>
  <c r="BC36" i="3"/>
  <c r="AU36" i="3"/>
  <c r="AP36" i="3"/>
  <c r="AF36" i="3"/>
  <c r="AD36" i="3"/>
  <c r="AC36" i="3"/>
  <c r="R36" i="3"/>
  <c r="Q36" i="3"/>
  <c r="P36" i="3"/>
  <c r="BG35" i="3"/>
  <c r="BE35" i="3"/>
  <c r="BD35" i="3"/>
  <c r="BC35" i="3"/>
  <c r="AU35" i="3"/>
  <c r="AF35" i="3"/>
  <c r="AD35" i="3"/>
  <c r="AC35" i="3"/>
  <c r="BG34" i="3"/>
  <c r="BE34" i="3"/>
  <c r="BD34" i="3"/>
  <c r="BC34" i="3"/>
  <c r="AU34" i="3"/>
  <c r="AP34" i="3"/>
  <c r="AF34" i="3"/>
  <c r="AD34" i="3"/>
  <c r="AC34" i="3"/>
  <c r="R34" i="3"/>
  <c r="Q34" i="3"/>
  <c r="P34" i="3"/>
  <c r="BE33" i="3"/>
  <c r="BD33" i="3"/>
  <c r="BC33" i="3"/>
  <c r="BG33" i="3"/>
  <c r="AP33" i="3"/>
  <c r="AF33" i="3"/>
  <c r="AD33" i="3"/>
  <c r="AC33" i="3"/>
  <c r="R33" i="3"/>
  <c r="Q33" i="3"/>
  <c r="P33" i="3"/>
  <c r="BG32" i="3"/>
  <c r="BD32" i="3"/>
  <c r="BC32" i="3"/>
  <c r="AU32" i="3"/>
  <c r="AP32" i="3"/>
  <c r="AM32" i="3"/>
  <c r="BE32" i="3" s="1"/>
  <c r="AF32" i="3"/>
  <c r="AD32" i="3"/>
  <c r="AC32" i="3"/>
  <c r="R32" i="3"/>
  <c r="Q32" i="3"/>
  <c r="P32" i="3"/>
  <c r="BB31" i="3"/>
  <c r="BA31" i="3"/>
  <c r="BA29" i="3" s="1"/>
  <c r="AZ31" i="3"/>
  <c r="AZ29" i="3" s="1"/>
  <c r="AY31" i="3"/>
  <c r="AY29" i="3" s="1"/>
  <c r="AX31" i="3"/>
  <c r="AX29" i="3" s="1"/>
  <c r="AW31" i="3"/>
  <c r="AW29" i="3" s="1"/>
  <c r="AV31" i="3"/>
  <c r="AV29" i="3" s="1"/>
  <c r="AS31" i="3"/>
  <c r="AS29" i="3" s="1"/>
  <c r="AR31" i="3"/>
  <c r="AR29" i="3" s="1"/>
  <c r="AQ31" i="3"/>
  <c r="AQ29" i="3" s="1"/>
  <c r="AO31" i="3"/>
  <c r="AN31" i="3"/>
  <c r="AL31" i="3"/>
  <c r="AK31" i="3"/>
  <c r="AF31" i="3"/>
  <c r="O31" i="3"/>
  <c r="BG27" i="3"/>
  <c r="BE27" i="3"/>
  <c r="BD27" i="3"/>
  <c r="BC27" i="3"/>
  <c r="AU27" i="3"/>
  <c r="AP27" i="3"/>
  <c r="AF27" i="3"/>
  <c r="AD27" i="3"/>
  <c r="AC27" i="3"/>
  <c r="R27" i="3"/>
  <c r="Q27" i="3"/>
  <c r="P27" i="3"/>
  <c r="BG26" i="3"/>
  <c r="BE26" i="3"/>
  <c r="BD26" i="3"/>
  <c r="BC26" i="3"/>
  <c r="AF26" i="3"/>
  <c r="R26" i="3"/>
  <c r="Q26" i="3"/>
  <c r="P26" i="3"/>
  <c r="O26" i="3"/>
  <c r="BG25" i="3"/>
  <c r="BE25" i="3"/>
  <c r="BD25" i="3"/>
  <c r="BC25" i="3"/>
  <c r="AF25" i="3"/>
  <c r="AD25" i="3"/>
  <c r="AC25" i="3"/>
  <c r="R25" i="3"/>
  <c r="Q25" i="3"/>
  <c r="P25" i="3"/>
  <c r="BE24" i="3"/>
  <c r="BD24" i="3"/>
  <c r="BC24" i="3"/>
  <c r="BG24" i="3"/>
  <c r="AP24" i="3"/>
  <c r="AF24" i="3"/>
  <c r="AD24" i="3"/>
  <c r="AC24" i="3"/>
  <c r="R24" i="3"/>
  <c r="Q24" i="3"/>
  <c r="P24" i="3"/>
  <c r="O24" i="3"/>
  <c r="BG23" i="3"/>
  <c r="BE23" i="3"/>
  <c r="BD23" i="3"/>
  <c r="BC23" i="3"/>
  <c r="AU23" i="3"/>
  <c r="AP23" i="3"/>
  <c r="AF23" i="3"/>
  <c r="AD23" i="3"/>
  <c r="AC23" i="3"/>
  <c r="R23" i="3"/>
  <c r="Q23" i="3"/>
  <c r="P23" i="3"/>
  <c r="BG22" i="3"/>
  <c r="BE22" i="3"/>
  <c r="BD22" i="3"/>
  <c r="BC22" i="3"/>
  <c r="AU22" i="3"/>
  <c r="AP22" i="3"/>
  <c r="AF22" i="3"/>
  <c r="AD22" i="3"/>
  <c r="AC22" i="3"/>
  <c r="R22" i="3"/>
  <c r="Q22" i="3"/>
  <c r="P22" i="3"/>
  <c r="BG21" i="3"/>
  <c r="BD21" i="3"/>
  <c r="BC21" i="3"/>
  <c r="AU21" i="3"/>
  <c r="AP21" i="3"/>
  <c r="AM21" i="3"/>
  <c r="BE21" i="3" s="1"/>
  <c r="AF21" i="3"/>
  <c r="AD21" i="3"/>
  <c r="AC21" i="3"/>
  <c r="R21" i="3"/>
  <c r="Q21" i="3"/>
  <c r="P21" i="3"/>
  <c r="BB20" i="3"/>
  <c r="BA20" i="3"/>
  <c r="AZ20" i="3"/>
  <c r="AY20" i="3"/>
  <c r="AX20" i="3"/>
  <c r="AW20" i="3"/>
  <c r="AV20" i="3"/>
  <c r="AS20" i="3"/>
  <c r="AR20" i="3"/>
  <c r="AQ20" i="3"/>
  <c r="AO20" i="3"/>
  <c r="AN20" i="3"/>
  <c r="AL20" i="3"/>
  <c r="AK20" i="3"/>
  <c r="AF20" i="3"/>
  <c r="BG19" i="3"/>
  <c r="BE19" i="3"/>
  <c r="BD19" i="3"/>
  <c r="BC19" i="3"/>
  <c r="AU19" i="3"/>
  <c r="AP19" i="3"/>
  <c r="AF19" i="3"/>
  <c r="AD19" i="3"/>
  <c r="AC19" i="3"/>
  <c r="R19" i="3"/>
  <c r="Q19" i="3"/>
  <c r="P19" i="3"/>
  <c r="O19" i="3"/>
  <c r="BG18" i="3"/>
  <c r="BE18" i="3"/>
  <c r="BD18" i="3"/>
  <c r="BC18" i="3"/>
  <c r="AU18" i="3"/>
  <c r="AP18" i="3"/>
  <c r="AF18" i="3"/>
  <c r="Q18" i="3"/>
  <c r="P18" i="3"/>
  <c r="BG17" i="3"/>
  <c r="BE17" i="3"/>
  <c r="BD17" i="3"/>
  <c r="BC17" i="3"/>
  <c r="AU17" i="3"/>
  <c r="AP17" i="3"/>
  <c r="AF17" i="3"/>
  <c r="AD17" i="3"/>
  <c r="AC17" i="3"/>
  <c r="R17" i="3"/>
  <c r="Q17" i="3"/>
  <c r="P17" i="3"/>
  <c r="O17" i="3"/>
  <c r="BE16" i="3"/>
  <c r="BD16" i="3"/>
  <c r="BC16" i="3"/>
  <c r="AP16" i="3"/>
  <c r="AF16" i="3"/>
  <c r="AD16" i="3"/>
  <c r="AC16" i="3"/>
  <c r="R16" i="3"/>
  <c r="Q16" i="3"/>
  <c r="P16" i="3"/>
  <c r="O16" i="3"/>
  <c r="BG15" i="3"/>
  <c r="BE15" i="3"/>
  <c r="BD15" i="3"/>
  <c r="BC15" i="3"/>
  <c r="AU15" i="3"/>
  <c r="AF15" i="3"/>
  <c r="AD15" i="3"/>
  <c r="AC15" i="3"/>
  <c r="R15" i="3"/>
  <c r="Q15" i="3"/>
  <c r="P15" i="3"/>
  <c r="BG14" i="3"/>
  <c r="BE14" i="3"/>
  <c r="BD14" i="3"/>
  <c r="BC14" i="3"/>
  <c r="AP14" i="3"/>
  <c r="AF14" i="3"/>
  <c r="AD14" i="3"/>
  <c r="AC14" i="3"/>
  <c r="R14" i="3"/>
  <c r="Q14" i="3"/>
  <c r="P14" i="3"/>
  <c r="BG13" i="3"/>
  <c r="BE13" i="3"/>
  <c r="BD13" i="3"/>
  <c r="BC13" i="3"/>
  <c r="AP13" i="3"/>
  <c r="AF13" i="3"/>
  <c r="AD13" i="3"/>
  <c r="AC13" i="3"/>
  <c r="R13" i="3"/>
  <c r="Q13" i="3"/>
  <c r="P13" i="3"/>
  <c r="BG12" i="3"/>
  <c r="BE12" i="3"/>
  <c r="BD12" i="3"/>
  <c r="BC12" i="3"/>
  <c r="AP12" i="3"/>
  <c r="AF12" i="3"/>
  <c r="AD12" i="3"/>
  <c r="AC12" i="3"/>
  <c r="R12" i="3"/>
  <c r="Q12" i="3"/>
  <c r="P12" i="3"/>
  <c r="BC11" i="3"/>
  <c r="AU11" i="3"/>
  <c r="AP11" i="3"/>
  <c r="AM11" i="3"/>
  <c r="BE11" i="3" s="1"/>
  <c r="AF11" i="3"/>
  <c r="AD11" i="3"/>
  <c r="AC11" i="3"/>
  <c r="R11" i="3"/>
  <c r="Q11" i="3"/>
  <c r="BB10" i="3"/>
  <c r="BA10" i="3"/>
  <c r="AZ10" i="3"/>
  <c r="AY10" i="3"/>
  <c r="AX10" i="3"/>
  <c r="AW10" i="3"/>
  <c r="AV10" i="3"/>
  <c r="AS10" i="3"/>
  <c r="AR10" i="3"/>
  <c r="AQ10" i="3"/>
  <c r="AO10" i="3"/>
  <c r="AN10" i="3"/>
  <c r="AL10" i="3"/>
  <c r="AK10" i="3"/>
  <c r="AF10" i="3"/>
  <c r="A3" i="3"/>
  <c r="A2" i="3"/>
  <c r="BH33" i="3" l="1"/>
  <c r="BH42" i="3"/>
  <c r="BH26" i="3"/>
  <c r="BH97" i="3"/>
  <c r="BH27" i="3"/>
  <c r="BH95" i="3"/>
  <c r="BH104" i="3"/>
  <c r="BH117" i="3"/>
  <c r="BH141" i="3"/>
  <c r="BH144" i="3"/>
  <c r="BH96" i="3"/>
  <c r="BH111" i="3"/>
  <c r="BH12" i="3"/>
  <c r="BH105" i="3"/>
  <c r="BH32" i="3"/>
  <c r="BH35" i="3"/>
  <c r="BH37" i="3"/>
  <c r="BH50" i="3"/>
  <c r="BH52" i="3"/>
  <c r="BH73" i="3"/>
  <c r="BH84" i="3"/>
  <c r="BH116" i="3"/>
  <c r="BH122" i="3"/>
  <c r="BH134" i="3"/>
  <c r="BH142" i="3"/>
  <c r="BH151" i="3"/>
  <c r="BH153" i="3"/>
  <c r="BH163" i="3"/>
  <c r="BH167" i="3"/>
  <c r="BH43" i="3"/>
  <c r="BH19" i="3"/>
  <c r="BH24" i="3"/>
  <c r="BH156" i="3"/>
  <c r="BH173" i="3"/>
  <c r="BH123" i="3"/>
  <c r="BH139" i="3"/>
  <c r="BH154" i="3"/>
  <c r="BH158" i="3"/>
  <c r="BH171" i="3"/>
  <c r="BH175" i="3"/>
  <c r="BH88" i="3"/>
  <c r="BH145" i="3"/>
  <c r="BH77" i="3"/>
  <c r="BH23" i="3"/>
  <c r="BH38" i="3"/>
  <c r="BH62" i="3"/>
  <c r="BH85" i="3"/>
  <c r="BH164" i="3"/>
  <c r="BH18" i="3"/>
  <c r="BH34" i="3"/>
  <c r="BH166" i="3"/>
  <c r="BH60" i="3"/>
  <c r="BH137" i="3"/>
  <c r="BH13" i="3"/>
  <c r="BH90" i="3"/>
  <c r="BH131" i="3"/>
  <c r="BH58" i="3"/>
  <c r="BH121" i="3"/>
  <c r="BH74" i="3"/>
  <c r="BH93" i="3"/>
  <c r="BH113" i="3"/>
  <c r="BH49" i="3"/>
  <c r="BH79" i="3"/>
  <c r="BH115" i="3"/>
  <c r="BH133" i="3"/>
  <c r="BH15" i="3"/>
  <c r="BH53" i="3"/>
  <c r="BH87" i="3"/>
  <c r="BH103" i="3"/>
  <c r="BH110" i="3"/>
  <c r="BH135" i="3"/>
  <c r="BH45" i="3"/>
  <c r="BH108" i="3"/>
  <c r="BH47" i="3"/>
  <c r="BH68" i="3"/>
  <c r="BH72" i="3"/>
  <c r="BH51" i="3"/>
  <c r="BH57" i="3"/>
  <c r="BF84" i="3"/>
  <c r="BH125" i="3"/>
  <c r="BH152" i="3"/>
  <c r="BH41" i="3"/>
  <c r="BH21" i="3"/>
  <c r="BH36" i="3"/>
  <c r="BH168" i="3"/>
  <c r="BH17" i="3"/>
  <c r="BH44" i="3"/>
  <c r="BH55" i="3"/>
  <c r="BH76" i="3"/>
  <c r="BH78" i="3"/>
  <c r="BH89" i="3"/>
  <c r="BH92" i="3"/>
  <c r="BH107" i="3"/>
  <c r="BH146" i="3"/>
  <c r="BH165" i="3"/>
  <c r="BH56" i="3"/>
  <c r="BH106" i="3"/>
  <c r="BH22" i="3"/>
  <c r="BH59" i="3"/>
  <c r="BH71" i="3"/>
  <c r="BH157" i="3"/>
  <c r="R162" i="3"/>
  <c r="BH174" i="3"/>
  <c r="BH61" i="3"/>
  <c r="BH94" i="3"/>
  <c r="BH119" i="3"/>
  <c r="BH138" i="3"/>
  <c r="BH172" i="3"/>
  <c r="BH143" i="3"/>
  <c r="BH98" i="3"/>
  <c r="BH118" i="3"/>
  <c r="BH14" i="3"/>
  <c r="BH48" i="3"/>
  <c r="BH69" i="3"/>
  <c r="BH109" i="3"/>
  <c r="BH114" i="3"/>
  <c r="BH132" i="3"/>
  <c r="BH39" i="3"/>
  <c r="BH63" i="3"/>
  <c r="BH86" i="3"/>
  <c r="BH124" i="3"/>
  <c r="BH130" i="3"/>
  <c r="BH176" i="3"/>
  <c r="AL66" i="3"/>
  <c r="AR65" i="3"/>
  <c r="BF124" i="3"/>
  <c r="AM83" i="3"/>
  <c r="P150" i="3"/>
  <c r="AZ65" i="3"/>
  <c r="AM40" i="3"/>
  <c r="Q35" i="3"/>
  <c r="Q31" i="3" s="1"/>
  <c r="AK66" i="3"/>
  <c r="BF68" i="3"/>
  <c r="AX8" i="3"/>
  <c r="AX7" i="3" s="1"/>
  <c r="AW8" i="3"/>
  <c r="AW7" i="3" s="1"/>
  <c r="BA8" i="3"/>
  <c r="BA7" i="3" s="1"/>
  <c r="BG16" i="3"/>
  <c r="AU10" i="3"/>
  <c r="AV8" i="3"/>
  <c r="AV7" i="3" s="1"/>
  <c r="AM102" i="3"/>
  <c r="AE168" i="3"/>
  <c r="AO160" i="3"/>
  <c r="BF24" i="3"/>
  <c r="AL160" i="3"/>
  <c r="R170" i="3"/>
  <c r="AQ126" i="3"/>
  <c r="AE142" i="3"/>
  <c r="AK101" i="3"/>
  <c r="BD129" i="3"/>
  <c r="AM31" i="3"/>
  <c r="AE50" i="3"/>
  <c r="AE53" i="3"/>
  <c r="AE62" i="3"/>
  <c r="BF164" i="3"/>
  <c r="AK8" i="3"/>
  <c r="AQ8" i="3"/>
  <c r="AE124" i="3"/>
  <c r="O140" i="3"/>
  <c r="O128" i="3" s="1"/>
  <c r="AE51" i="3"/>
  <c r="AN81" i="3"/>
  <c r="AX81" i="3"/>
  <c r="AL161" i="3"/>
  <c r="AE169" i="3"/>
  <c r="AM170" i="3"/>
  <c r="AM161" i="3" s="1"/>
  <c r="AS65" i="3"/>
  <c r="AY65" i="3"/>
  <c r="AM75" i="3"/>
  <c r="BF97" i="3"/>
  <c r="AE125" i="3"/>
  <c r="BF134" i="3"/>
  <c r="AE141" i="3"/>
  <c r="AE164" i="3"/>
  <c r="BG31" i="3"/>
  <c r="AV81" i="3"/>
  <c r="R102" i="3"/>
  <c r="AN100" i="3"/>
  <c r="AM120" i="3"/>
  <c r="AN9" i="3"/>
  <c r="AQ81" i="3"/>
  <c r="AY100" i="3"/>
  <c r="AY99" i="3" s="1"/>
  <c r="BF135" i="3"/>
  <c r="AE154" i="3"/>
  <c r="AE165" i="3"/>
  <c r="AR100" i="3"/>
  <c r="BF106" i="3"/>
  <c r="BF109" i="3"/>
  <c r="AE113" i="3"/>
  <c r="BC120" i="3"/>
  <c r="AE123" i="3"/>
  <c r="AS126" i="3"/>
  <c r="AE146" i="3"/>
  <c r="AE152" i="3"/>
  <c r="R155" i="3"/>
  <c r="BG155" i="3"/>
  <c r="AE158" i="3"/>
  <c r="Q170" i="3"/>
  <c r="BF173" i="3"/>
  <c r="BF73" i="3"/>
  <c r="AE93" i="3"/>
  <c r="AN8" i="3"/>
  <c r="AS8" i="3"/>
  <c r="AE11" i="3"/>
  <c r="AE13" i="3"/>
  <c r="AE14" i="3"/>
  <c r="AE15" i="3"/>
  <c r="AE21" i="3"/>
  <c r="BF49" i="3"/>
  <c r="AL65" i="3"/>
  <c r="AV65" i="3"/>
  <c r="AY81" i="3"/>
  <c r="AE144" i="3"/>
  <c r="AP155" i="3"/>
  <c r="AP170" i="3"/>
  <c r="BA126" i="3"/>
  <c r="AE69" i="3"/>
  <c r="BF70" i="3"/>
  <c r="AE73" i="3"/>
  <c r="BF76" i="3"/>
  <c r="AN82" i="3"/>
  <c r="AS81" i="3"/>
  <c r="AE24" i="3"/>
  <c r="AU24" i="3"/>
  <c r="AK30" i="3"/>
  <c r="AU31" i="3"/>
  <c r="AU33" i="3"/>
  <c r="BC40" i="3"/>
  <c r="AQ65" i="3"/>
  <c r="BA65" i="3"/>
  <c r="AU75" i="3"/>
  <c r="AE98" i="3"/>
  <c r="AK100" i="3"/>
  <c r="AE104" i="3"/>
  <c r="AE108" i="3"/>
  <c r="AE110" i="3"/>
  <c r="BF114" i="3"/>
  <c r="AE117" i="3"/>
  <c r="AE138" i="3"/>
  <c r="BF143" i="3"/>
  <c r="AN149" i="3"/>
  <c r="BF157" i="3"/>
  <c r="BF163" i="3"/>
  <c r="Q162" i="3"/>
  <c r="AU170" i="3"/>
  <c r="P170" i="3"/>
  <c r="BF174" i="3"/>
  <c r="BF12" i="3"/>
  <c r="AE16" i="3"/>
  <c r="Q20" i="3"/>
  <c r="O20" i="3"/>
  <c r="AE26" i="3"/>
  <c r="BF26" i="3"/>
  <c r="AE45" i="3"/>
  <c r="AU54" i="3"/>
  <c r="AU57" i="3"/>
  <c r="AE61" i="3"/>
  <c r="BF63" i="3"/>
  <c r="AO66" i="3"/>
  <c r="AE77" i="3"/>
  <c r="AE78" i="3"/>
  <c r="AE79" i="3"/>
  <c r="BB81" i="3"/>
  <c r="BF85" i="3"/>
  <c r="AE88" i="3"/>
  <c r="AN101" i="3"/>
  <c r="AS100" i="3"/>
  <c r="AE114" i="3"/>
  <c r="BF118" i="3"/>
  <c r="AP120" i="3"/>
  <c r="AU120" i="3"/>
  <c r="AX126" i="3"/>
  <c r="AE134" i="3"/>
  <c r="AE137" i="3"/>
  <c r="BF141" i="3"/>
  <c r="BF142" i="3"/>
  <c r="AK149" i="3"/>
  <c r="BF152" i="3"/>
  <c r="AE156" i="3"/>
  <c r="AE176" i="3"/>
  <c r="AL9" i="3"/>
  <c r="Q54" i="3"/>
  <c r="AW65" i="3"/>
  <c r="AO100" i="3"/>
  <c r="BF122" i="3"/>
  <c r="AY126" i="3"/>
  <c r="AE133" i="3"/>
  <c r="BF23" i="3"/>
  <c r="BF37" i="3"/>
  <c r="BF38" i="3"/>
  <c r="BG40" i="3"/>
  <c r="O40" i="3"/>
  <c r="O30" i="3" s="1"/>
  <c r="AE56" i="3"/>
  <c r="AX65" i="3"/>
  <c r="Q75" i="3"/>
  <c r="BF78" i="3"/>
  <c r="BF79" i="3"/>
  <c r="AL82" i="3"/>
  <c r="AZ81" i="3"/>
  <c r="BF88" i="3"/>
  <c r="BF89" i="3"/>
  <c r="BC91" i="3"/>
  <c r="AQ100" i="3"/>
  <c r="AV100" i="3"/>
  <c r="AV99" i="3" s="1"/>
  <c r="AZ100" i="3"/>
  <c r="AZ99" i="3" s="1"/>
  <c r="BF107" i="3"/>
  <c r="BF116" i="3"/>
  <c r="AE119" i="3"/>
  <c r="AP129" i="3"/>
  <c r="AV126" i="3"/>
  <c r="AZ126" i="3"/>
  <c r="P129" i="3"/>
  <c r="BF131" i="3"/>
  <c r="BG136" i="3"/>
  <c r="AE143" i="3"/>
  <c r="O149" i="3"/>
  <c r="AK160" i="3"/>
  <c r="AP162" i="3"/>
  <c r="BF168" i="3"/>
  <c r="BG170" i="3"/>
  <c r="AE173" i="3"/>
  <c r="BF176" i="3"/>
  <c r="AZ8" i="3"/>
  <c r="AZ7" i="3" s="1"/>
  <c r="AL30" i="3"/>
  <c r="BE83" i="3"/>
  <c r="AK128" i="3"/>
  <c r="O148" i="3"/>
  <c r="BF153" i="3"/>
  <c r="AK161" i="3"/>
  <c r="AE166" i="3"/>
  <c r="BC31" i="3"/>
  <c r="BF36" i="3"/>
  <c r="BC46" i="3"/>
  <c r="AE48" i="3"/>
  <c r="BF50" i="3"/>
  <c r="BF61" i="3"/>
  <c r="BF69" i="3"/>
  <c r="AE71" i="3"/>
  <c r="AN65" i="3"/>
  <c r="AE84" i="3"/>
  <c r="AE87" i="3"/>
  <c r="BF90" i="3"/>
  <c r="AE95" i="3"/>
  <c r="AE97" i="3"/>
  <c r="AO101" i="3"/>
  <c r="AX100" i="3"/>
  <c r="AX99" i="3" s="1"/>
  <c r="O162" i="3"/>
  <c r="AE171" i="3"/>
  <c r="BF172" i="3"/>
  <c r="AE174" i="3"/>
  <c r="Q10" i="3"/>
  <c r="AL8" i="3"/>
  <c r="AR8" i="3"/>
  <c r="BC10" i="3"/>
  <c r="AE19" i="3"/>
  <c r="BC20" i="3"/>
  <c r="BB29" i="3"/>
  <c r="BC29" i="3" s="1"/>
  <c r="BF34" i="3"/>
  <c r="P40" i="3"/>
  <c r="AE42" i="3"/>
  <c r="AE43" i="3"/>
  <c r="AU46" i="3"/>
  <c r="P46" i="3"/>
  <c r="AE47" i="3"/>
  <c r="BF48" i="3"/>
  <c r="BC54" i="3"/>
  <c r="BF57" i="3"/>
  <c r="BC67" i="3"/>
  <c r="AE74" i="3"/>
  <c r="AE76" i="3"/>
  <c r="Q83" i="3"/>
  <c r="O83" i="3"/>
  <c r="AE92" i="3"/>
  <c r="BF96" i="3"/>
  <c r="BF98" i="3"/>
  <c r="BF108" i="3"/>
  <c r="AE111" i="3"/>
  <c r="AP112" i="3"/>
  <c r="AU112" i="3"/>
  <c r="AE116" i="3"/>
  <c r="AE118" i="3"/>
  <c r="BF123" i="3"/>
  <c r="BF132" i="3"/>
  <c r="R136" i="3"/>
  <c r="BF139" i="3"/>
  <c r="AE157" i="3"/>
  <c r="AW126" i="3"/>
  <c r="AO161" i="3"/>
  <c r="AE163" i="3"/>
  <c r="BF166" i="3"/>
  <c r="BF167" i="3"/>
  <c r="BD170" i="3"/>
  <c r="AE175" i="3"/>
  <c r="O10" i="3"/>
  <c r="AE17" i="3"/>
  <c r="BF18" i="3"/>
  <c r="AP20" i="3"/>
  <c r="AY8" i="3"/>
  <c r="AY7" i="3" s="1"/>
  <c r="AE36" i="3"/>
  <c r="AE39" i="3"/>
  <c r="AP40" i="3"/>
  <c r="BF44" i="3"/>
  <c r="AE58" i="3"/>
  <c r="AE63" i="3"/>
  <c r="AU78" i="3"/>
  <c r="AR81" i="3"/>
  <c r="BF94" i="3"/>
  <c r="AP102" i="3"/>
  <c r="AE103" i="3"/>
  <c r="AE105" i="3"/>
  <c r="BF110" i="3"/>
  <c r="AM112" i="3"/>
  <c r="AE115" i="3"/>
  <c r="AE121" i="3"/>
  <c r="BC129" i="3"/>
  <c r="AE131" i="3"/>
  <c r="AE139" i="3"/>
  <c r="AU162" i="3"/>
  <c r="P162" i="3"/>
  <c r="AE167" i="3"/>
  <c r="BF43" i="3"/>
  <c r="BF32" i="3"/>
  <c r="BF27" i="3"/>
  <c r="AO8" i="3"/>
  <c r="BF19" i="3"/>
  <c r="AK9" i="3"/>
  <c r="BF16" i="3"/>
  <c r="BF15" i="3"/>
  <c r="AO9" i="3"/>
  <c r="P10" i="3"/>
  <c r="BD83" i="3"/>
  <c r="BF86" i="3"/>
  <c r="BB100" i="3"/>
  <c r="BC112" i="3"/>
  <c r="BF138" i="3"/>
  <c r="BD136" i="3"/>
  <c r="AP150" i="3"/>
  <c r="AO148" i="3"/>
  <c r="AP10" i="3"/>
  <c r="BD10" i="3"/>
  <c r="R10" i="3"/>
  <c r="BF13" i="3"/>
  <c r="BF14" i="3"/>
  <c r="AE22" i="3"/>
  <c r="P20" i="3"/>
  <c r="AE23" i="3"/>
  <c r="AE25" i="3"/>
  <c r="AE32" i="3"/>
  <c r="AE33" i="3"/>
  <c r="R31" i="3"/>
  <c r="R40" i="3"/>
  <c r="AM46" i="3"/>
  <c r="Q46" i="3"/>
  <c r="BF52" i="3"/>
  <c r="BF62" i="3"/>
  <c r="BE67" i="3"/>
  <c r="BF74" i="3"/>
  <c r="AW81" i="3"/>
  <c r="P136" i="3"/>
  <c r="Q140" i="3"/>
  <c r="AK148" i="3"/>
  <c r="Q155" i="3"/>
  <c r="BC160" i="3"/>
  <c r="BB150" i="3"/>
  <c r="BE20" i="3"/>
  <c r="AP31" i="3"/>
  <c r="AL29" i="3"/>
  <c r="Q40" i="3"/>
  <c r="P75" i="3"/>
  <c r="BG75" i="3"/>
  <c r="BE92" i="3"/>
  <c r="BF92" i="3" s="1"/>
  <c r="AM91" i="3"/>
  <c r="O112" i="3"/>
  <c r="O101" i="3" s="1"/>
  <c r="BC127" i="3"/>
  <c r="AL148" i="3"/>
  <c r="AL149" i="3"/>
  <c r="AN161" i="3"/>
  <c r="AN160" i="3"/>
  <c r="BD162" i="3"/>
  <c r="AE12" i="3"/>
  <c r="AU16" i="3"/>
  <c r="BF17" i="3"/>
  <c r="AU20" i="3"/>
  <c r="BF21" i="3"/>
  <c r="BG20" i="3"/>
  <c r="AE27" i="3"/>
  <c r="AE34" i="3"/>
  <c r="BF35" i="3"/>
  <c r="AE37" i="3"/>
  <c r="AE38" i="3"/>
  <c r="AE41" i="3"/>
  <c r="BF42" i="3"/>
  <c r="AP46" i="3"/>
  <c r="AK29" i="3"/>
  <c r="AE57" i="3"/>
  <c r="AE59" i="3"/>
  <c r="BF60" i="3"/>
  <c r="AP67" i="3"/>
  <c r="AE68" i="3"/>
  <c r="R129" i="3"/>
  <c r="AO128" i="3"/>
  <c r="AP136" i="3"/>
  <c r="AU150" i="3"/>
  <c r="Q150" i="3"/>
  <c r="BG150" i="3"/>
  <c r="P83" i="3"/>
  <c r="BG83" i="3"/>
  <c r="AE86" i="3"/>
  <c r="AE89" i="3"/>
  <c r="BD91" i="3"/>
  <c r="BF95" i="3"/>
  <c r="AL101" i="3"/>
  <c r="P102" i="3"/>
  <c r="BG102" i="3"/>
  <c r="Q112" i="3"/>
  <c r="BG112" i="3"/>
  <c r="R120" i="3"/>
  <c r="BD120" i="3"/>
  <c r="AU129" i="3"/>
  <c r="Q129" i="3"/>
  <c r="P155" i="3"/>
  <c r="BF175" i="3"/>
  <c r="AE44" i="3"/>
  <c r="BD46" i="3"/>
  <c r="BG46" i="3"/>
  <c r="AE49" i="3"/>
  <c r="AE52" i="3"/>
  <c r="BF58" i="3"/>
  <c r="BF59" i="3"/>
  <c r="P67" i="3"/>
  <c r="AE72" i="3"/>
  <c r="AL81" i="3"/>
  <c r="AE85" i="3"/>
  <c r="BF87" i="3"/>
  <c r="AE90" i="3"/>
  <c r="BF93" i="3"/>
  <c r="O91" i="3"/>
  <c r="AW100" i="3"/>
  <c r="AW99" i="3" s="1"/>
  <c r="BA100" i="3"/>
  <c r="BA99" i="3" s="1"/>
  <c r="Q102" i="3"/>
  <c r="BD102" i="3"/>
  <c r="BF105" i="3"/>
  <c r="AE109" i="3"/>
  <c r="BG120" i="3"/>
  <c r="AE132" i="3"/>
  <c r="BG129" i="3"/>
  <c r="BG140" i="3"/>
  <c r="AE145" i="3"/>
  <c r="AN148" i="3"/>
  <c r="R150" i="3"/>
  <c r="AM155" i="3"/>
  <c r="AM148" i="3" s="1"/>
  <c r="BD155" i="3"/>
  <c r="BF158" i="3"/>
  <c r="BF165" i="3"/>
  <c r="AE172" i="3"/>
  <c r="BF51" i="3"/>
  <c r="AE55" i="3"/>
  <c r="R54" i="3"/>
  <c r="AE60" i="3"/>
  <c r="AN66" i="3"/>
  <c r="BC75" i="3"/>
  <c r="R75" i="3"/>
  <c r="AK81" i="3"/>
  <c r="AO81" i="3"/>
  <c r="P91" i="3"/>
  <c r="BG91" i="3"/>
  <c r="AE94" i="3"/>
  <c r="Q91" i="3"/>
  <c r="AL100" i="3"/>
  <c r="BF111" i="3"/>
  <c r="P120" i="3"/>
  <c r="AM136" i="3"/>
  <c r="AK127" i="3"/>
  <c r="P140" i="3"/>
  <c r="BD150" i="3"/>
  <c r="BG162" i="3"/>
  <c r="R140" i="3"/>
  <c r="R20" i="3"/>
  <c r="R67" i="3"/>
  <c r="AE96" i="3"/>
  <c r="R91" i="3"/>
  <c r="BF33" i="3"/>
  <c r="BD31" i="3"/>
  <c r="BF77" i="3"/>
  <c r="BE75" i="3"/>
  <c r="BB8" i="3"/>
  <c r="BF22" i="3"/>
  <c r="BD20" i="3"/>
  <c r="AN30" i="3"/>
  <c r="AN29" i="3"/>
  <c r="R46" i="3"/>
  <c r="BF47" i="3"/>
  <c r="BE46" i="3"/>
  <c r="AO29" i="3"/>
  <c r="AP54" i="3"/>
  <c r="BB65" i="3"/>
  <c r="Q67" i="3"/>
  <c r="AK65" i="3"/>
  <c r="AP75" i="3"/>
  <c r="AO65" i="3"/>
  <c r="AP91" i="3"/>
  <c r="BF41" i="3"/>
  <c r="BE40" i="3"/>
  <c r="AM10" i="3"/>
  <c r="BE31" i="3"/>
  <c r="BF39" i="3"/>
  <c r="BD54" i="3"/>
  <c r="BE55" i="3"/>
  <c r="P54" i="3"/>
  <c r="BC83" i="3"/>
  <c r="BA81" i="3"/>
  <c r="P35" i="3"/>
  <c r="P31" i="3" s="1"/>
  <c r="BD40" i="3"/>
  <c r="BG54" i="3"/>
  <c r="BF71" i="3"/>
  <c r="BD67" i="3"/>
  <c r="O66" i="3"/>
  <c r="O65" i="3"/>
  <c r="AM20" i="3"/>
  <c r="AM67" i="3"/>
  <c r="BD75" i="3"/>
  <c r="R83" i="3"/>
  <c r="AN128" i="3"/>
  <c r="AN127" i="3"/>
  <c r="AL128" i="3"/>
  <c r="AL127" i="3"/>
  <c r="BG70" i="3"/>
  <c r="AU70" i="3"/>
  <c r="AU83" i="3"/>
  <c r="AK82" i="3"/>
  <c r="AP83" i="3"/>
  <c r="AO82" i="3"/>
  <c r="AO30" i="3"/>
  <c r="AU43" i="3"/>
  <c r="AE70" i="3"/>
  <c r="AU71" i="3"/>
  <c r="BE102" i="3"/>
  <c r="BF103" i="3"/>
  <c r="BC102" i="3"/>
  <c r="BF104" i="3"/>
  <c r="R112" i="3"/>
  <c r="P112" i="3"/>
  <c r="BF117" i="3"/>
  <c r="Q120" i="3"/>
  <c r="AE122" i="3"/>
  <c r="AE130" i="3"/>
  <c r="AE135" i="3"/>
  <c r="Q136" i="3"/>
  <c r="BE140" i="3"/>
  <c r="BD140" i="3"/>
  <c r="BF151" i="3"/>
  <c r="BE150" i="3"/>
  <c r="AE153" i="3"/>
  <c r="BF171" i="3"/>
  <c r="BE170" i="3"/>
  <c r="AU102" i="3"/>
  <c r="BF113" i="3"/>
  <c r="BE112" i="3"/>
  <c r="BD112" i="3"/>
  <c r="AU95" i="3"/>
  <c r="AE106" i="3"/>
  <c r="AE107" i="3"/>
  <c r="BF115" i="3"/>
  <c r="BF119" i="3"/>
  <c r="BF121" i="3"/>
  <c r="BE120" i="3"/>
  <c r="BF125" i="3"/>
  <c r="AR126" i="3"/>
  <c r="BE130" i="3"/>
  <c r="AM129" i="3"/>
  <c r="BF133" i="3"/>
  <c r="BF137" i="3"/>
  <c r="BE136" i="3"/>
  <c r="AP140" i="3"/>
  <c r="AO127" i="3"/>
  <c r="BF146" i="3"/>
  <c r="AE151" i="3"/>
  <c r="BF154" i="3"/>
  <c r="BF156" i="3"/>
  <c r="BE155" i="3"/>
  <c r="AO149" i="3"/>
  <c r="BE162" i="3"/>
  <c r="BG67" i="3" l="1"/>
  <c r="BG65" i="3" s="1"/>
  <c r="BH70" i="3"/>
  <c r="BG10" i="3"/>
  <c r="BH10" i="3" s="1"/>
  <c r="BH16" i="3"/>
  <c r="AM81" i="3"/>
  <c r="P148" i="3"/>
  <c r="BD149" i="3"/>
  <c r="AP66" i="3"/>
  <c r="AM160" i="3"/>
  <c r="AP160" i="3"/>
  <c r="O8" i="3"/>
  <c r="O7" i="3" s="1"/>
  <c r="BH31" i="3"/>
  <c r="BH102" i="3"/>
  <c r="AU66" i="3"/>
  <c r="R161" i="3"/>
  <c r="Q161" i="3"/>
  <c r="BD81" i="3"/>
  <c r="AE155" i="3"/>
  <c r="Q8" i="3"/>
  <c r="Q7" i="3" s="1"/>
  <c r="AU8" i="3"/>
  <c r="BC81" i="3"/>
  <c r="O81" i="3"/>
  <c r="R160" i="3"/>
  <c r="R159" i="3" s="1"/>
  <c r="BH155" i="3"/>
  <c r="BG148" i="3"/>
  <c r="AM30" i="3"/>
  <c r="BF120" i="3"/>
  <c r="BH120" i="3"/>
  <c r="AP128" i="3"/>
  <c r="BD82" i="3"/>
  <c r="AP8" i="3"/>
  <c r="AQ177" i="3"/>
  <c r="AP100" i="3"/>
  <c r="BE91" i="3"/>
  <c r="BE81" i="3" s="1"/>
  <c r="O29" i="3"/>
  <c r="Q148" i="3"/>
  <c r="AP101" i="3"/>
  <c r="AX177" i="3"/>
  <c r="AV177" i="3"/>
  <c r="AS177" i="3"/>
  <c r="AU128" i="3"/>
  <c r="AU127" i="3"/>
  <c r="AP30" i="3"/>
  <c r="R149" i="3"/>
  <c r="BH129" i="3"/>
  <c r="AU148" i="3"/>
  <c r="AE20" i="3"/>
  <c r="O9" i="3"/>
  <c r="BG160" i="3"/>
  <c r="P149" i="3"/>
  <c r="Q127" i="3"/>
  <c r="P100" i="3"/>
  <c r="R66" i="3"/>
  <c r="AE46" i="3"/>
  <c r="BH83" i="3"/>
  <c r="BD161" i="3"/>
  <c r="O127" i="3"/>
  <c r="BH136" i="3"/>
  <c r="AM100" i="3"/>
  <c r="AY177" i="3"/>
  <c r="AY183" i="3" s="1"/>
  <c r="BF155" i="3"/>
  <c r="BD148" i="3"/>
  <c r="BF46" i="3"/>
  <c r="AP81" i="3"/>
  <c r="BH46" i="3"/>
  <c r="AU67" i="3"/>
  <c r="BH162" i="3"/>
  <c r="BH91" i="3"/>
  <c r="P9" i="3"/>
  <c r="AE162" i="3"/>
  <c r="AE140" i="3"/>
  <c r="Q160" i="3"/>
  <c r="BF136" i="3"/>
  <c r="BF170" i="3"/>
  <c r="BD127" i="3"/>
  <c r="AE67" i="3"/>
  <c r="P81" i="3"/>
  <c r="AU161" i="3"/>
  <c r="BG100" i="3"/>
  <c r="AE10" i="3"/>
  <c r="AU160" i="3"/>
  <c r="AE120" i="3"/>
  <c r="BC65" i="3"/>
  <c r="Q81" i="3"/>
  <c r="AP127" i="3"/>
  <c r="R148" i="3"/>
  <c r="Q100" i="3"/>
  <c r="P82" i="3"/>
  <c r="BH40" i="3"/>
  <c r="AM29" i="3"/>
  <c r="AE170" i="3"/>
  <c r="AE112" i="3"/>
  <c r="R128" i="3"/>
  <c r="AP149" i="3"/>
  <c r="O100" i="3"/>
  <c r="BE65" i="3"/>
  <c r="BG82" i="3"/>
  <c r="AE40" i="3"/>
  <c r="P160" i="3"/>
  <c r="AE35" i="3"/>
  <c r="AE31" i="3" s="1"/>
  <c r="BF83" i="3"/>
  <c r="BH170" i="3"/>
  <c r="AU149" i="3"/>
  <c r="AE136" i="3"/>
  <c r="AE75" i="3"/>
  <c r="AE54" i="3"/>
  <c r="AZ177" i="3"/>
  <c r="AP161" i="3"/>
  <c r="P161" i="3"/>
  <c r="BH75" i="3"/>
  <c r="AE83" i="3"/>
  <c r="P8" i="3"/>
  <c r="P7" i="3" s="1"/>
  <c r="AL177" i="3"/>
  <c r="BE66" i="3"/>
  <c r="AM149" i="3"/>
  <c r="BG149" i="3"/>
  <c r="Q29" i="3"/>
  <c r="Q9" i="3"/>
  <c r="AE91" i="3"/>
  <c r="AK177" i="3"/>
  <c r="Q101" i="3"/>
  <c r="Q82" i="3"/>
  <c r="BD128" i="3"/>
  <c r="AP9" i="3"/>
  <c r="AN177" i="3"/>
  <c r="Q128" i="3"/>
  <c r="BG101" i="3"/>
  <c r="Q149" i="3"/>
  <c r="R9" i="3"/>
  <c r="AM101" i="3"/>
  <c r="AO177" i="3"/>
  <c r="P127" i="3"/>
  <c r="AR177" i="3"/>
  <c r="O161" i="3"/>
  <c r="O160" i="3"/>
  <c r="BF20" i="3"/>
  <c r="AM82" i="3"/>
  <c r="P65" i="3"/>
  <c r="P66" i="3"/>
  <c r="BH140" i="3"/>
  <c r="AW177" i="3"/>
  <c r="BF140" i="3"/>
  <c r="AE129" i="3"/>
  <c r="AP82" i="3"/>
  <c r="BG127" i="3"/>
  <c r="P128" i="3"/>
  <c r="BH150" i="3"/>
  <c r="BD9" i="3"/>
  <c r="O82" i="3"/>
  <c r="AP148" i="3"/>
  <c r="Q30" i="3"/>
  <c r="P101" i="3"/>
  <c r="BH54" i="3"/>
  <c r="AP29" i="3"/>
  <c r="BD160" i="3"/>
  <c r="BG161" i="3"/>
  <c r="AE102" i="3"/>
  <c r="AE150" i="3"/>
  <c r="BD100" i="3"/>
  <c r="BG128" i="3"/>
  <c r="BG30" i="3"/>
  <c r="BH20" i="3"/>
  <c r="R8" i="3"/>
  <c r="R7" i="3" s="1"/>
  <c r="BC150" i="3"/>
  <c r="BB148" i="3"/>
  <c r="BC100" i="3"/>
  <c r="BB99" i="3"/>
  <c r="BC99" i="3" s="1"/>
  <c r="R127" i="3"/>
  <c r="R126" i="3" s="1"/>
  <c r="R65" i="3"/>
  <c r="R64" i="3" s="1"/>
  <c r="AM127" i="3"/>
  <c r="AM128" i="3"/>
  <c r="BE160" i="3"/>
  <c r="BF162" i="3"/>
  <c r="BE161" i="3"/>
  <c r="BE129" i="3"/>
  <c r="BF130" i="3"/>
  <c r="BF112" i="3"/>
  <c r="AU91" i="3"/>
  <c r="AU40" i="3"/>
  <c r="R82" i="3"/>
  <c r="R81" i="3"/>
  <c r="R80" i="3" s="1"/>
  <c r="BH112" i="3"/>
  <c r="BF31" i="3"/>
  <c r="BE10" i="3"/>
  <c r="BF11" i="3"/>
  <c r="AP65" i="3"/>
  <c r="BD30" i="3"/>
  <c r="BD29" i="3"/>
  <c r="BD8" i="3"/>
  <c r="AU100" i="3"/>
  <c r="AU101" i="3"/>
  <c r="P30" i="3"/>
  <c r="P29" i="3"/>
  <c r="BC8" i="3"/>
  <c r="BB7" i="3"/>
  <c r="BC7" i="3" s="1"/>
  <c r="R100" i="3"/>
  <c r="R101" i="3"/>
  <c r="BD101" i="3"/>
  <c r="R30" i="3"/>
  <c r="R29" i="3"/>
  <c r="R28" i="3" s="1"/>
  <c r="AM9" i="3"/>
  <c r="AM8" i="3"/>
  <c r="BF40" i="3"/>
  <c r="Q66" i="3"/>
  <c r="Q65" i="3"/>
  <c r="BF55" i="3"/>
  <c r="BE54" i="3"/>
  <c r="BF54" i="3" s="1"/>
  <c r="BE148" i="3"/>
  <c r="BE149" i="3"/>
  <c r="BF150" i="3"/>
  <c r="BF102" i="3"/>
  <c r="BE101" i="3"/>
  <c r="BE100" i="3"/>
  <c r="AM66" i="3"/>
  <c r="AM65" i="3"/>
  <c r="BD65" i="3"/>
  <c r="BF67" i="3"/>
  <c r="BD66" i="3"/>
  <c r="BF75" i="3"/>
  <c r="BA177" i="3"/>
  <c r="BA183" i="3" s="1"/>
  <c r="BG29" i="3"/>
  <c r="BH67" i="3" l="1"/>
  <c r="BG66" i="3"/>
  <c r="BH66" i="3" s="1"/>
  <c r="BG8" i="3"/>
  <c r="BH8" i="3" s="1"/>
  <c r="BG9" i="3"/>
  <c r="BF149" i="3"/>
  <c r="BH149" i="3"/>
  <c r="AE9" i="3"/>
  <c r="AE8" i="3" s="1"/>
  <c r="AE7" i="3" s="1"/>
  <c r="BH148" i="3"/>
  <c r="BF81" i="3"/>
  <c r="AU9" i="3"/>
  <c r="BH100" i="3"/>
  <c r="BH127" i="3"/>
  <c r="AU65" i="3"/>
  <c r="BF161" i="3"/>
  <c r="BH160" i="3"/>
  <c r="BF91" i="3"/>
  <c r="AE149" i="3"/>
  <c r="AE148" i="3" s="1"/>
  <c r="BE82" i="3"/>
  <c r="BF82" i="3" s="1"/>
  <c r="BH161" i="3"/>
  <c r="AE66" i="3"/>
  <c r="AE65" i="3" s="1"/>
  <c r="BH82" i="3"/>
  <c r="BF65" i="3"/>
  <c r="BF148" i="3"/>
  <c r="AP177" i="3"/>
  <c r="AE161" i="3"/>
  <c r="AE160" i="3" s="1"/>
  <c r="O177" i="3"/>
  <c r="AE30" i="3"/>
  <c r="AE29" i="3" s="1"/>
  <c r="AE82" i="3"/>
  <c r="AE81" i="3" s="1"/>
  <c r="BG81" i="3"/>
  <c r="BH81" i="3" s="1"/>
  <c r="Q177" i="3"/>
  <c r="AE128" i="3"/>
  <c r="AE127" i="3" s="1"/>
  <c r="AE101" i="3"/>
  <c r="AE100" i="3" s="1"/>
  <c r="BF66" i="3"/>
  <c r="BH101" i="3"/>
  <c r="BH128" i="3"/>
  <c r="BH9" i="3"/>
  <c r="BF100" i="3"/>
  <c r="P177" i="3"/>
  <c r="BH30" i="3"/>
  <c r="BE30" i="3"/>
  <c r="BF30" i="3" s="1"/>
  <c r="BC148" i="3"/>
  <c r="BC177" i="3" s="1"/>
  <c r="BB126" i="3"/>
  <c r="BC126" i="3" s="1"/>
  <c r="BF101" i="3"/>
  <c r="BB177" i="3"/>
  <c r="BF160" i="3"/>
  <c r="AU81" i="3"/>
  <c r="AU82" i="3"/>
  <c r="BE127" i="3"/>
  <c r="BF127" i="3" s="1"/>
  <c r="BE128" i="3"/>
  <c r="BF128" i="3" s="1"/>
  <c r="BF129" i="3"/>
  <c r="BD177" i="3"/>
  <c r="BE29" i="3"/>
  <c r="BF29" i="3" s="1"/>
  <c r="BH65" i="3"/>
  <c r="BH29" i="3"/>
  <c r="R99" i="3"/>
  <c r="R177" i="3"/>
  <c r="AU29" i="3"/>
  <c r="AU30" i="3"/>
  <c r="AM177" i="3"/>
  <c r="BE9" i="3"/>
  <c r="BF9" i="3" s="1"/>
  <c r="BE8" i="3"/>
  <c r="BF10" i="3"/>
  <c r="BG177" i="3" l="1"/>
  <c r="BH177" i="3" s="1"/>
  <c r="AE177" i="3"/>
  <c r="AU177" i="3"/>
  <c r="BE177" i="3"/>
  <c r="BF177" i="3" s="1"/>
  <c r="BF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A178" authorId="0" shapeId="0" xr:uid="{00000000-0006-0000-0300-000001000000}">
      <text>
        <r>
          <rPr>
            <sz val="11"/>
            <color theme="1"/>
            <rFont val="Calibri"/>
            <family val="2"/>
            <scheme val="minor"/>
          </rPr>
          <t>======
ID#AAAA2gegWBs
Usuario    (2023-07-27 22:41:30)
Tomado de Informe 2021</t>
        </r>
      </text>
    </comment>
  </commentList>
  <extLst>
    <ext xmlns:r="http://schemas.openxmlformats.org/officeDocument/2006/relationships" uri="GoogleSheetsCustomDataVersion2">
      <go:sheetsCustomData xmlns:go="http://customooxmlschemas.google.com/" r:id="rId1" roundtripDataSignature="AMtx7mhgVMwfahArBi4gqxXKbrqoritdFw=="/>
    </ext>
  </extLst>
</comments>
</file>

<file path=xl/sharedStrings.xml><?xml version="1.0" encoding="utf-8"?>
<sst xmlns="http://schemas.openxmlformats.org/spreadsheetml/2006/main" count="1643" uniqueCount="988">
  <si>
    <t>ANEXOS INFORME DE SEGUIMIENTO AL PLAN DE ACCIÓN 2020-2023</t>
  </si>
  <si>
    <t>Nombre de la Corporación</t>
  </si>
  <si>
    <t>Corporación Autónoma Regional de Caldas – CORPOCALDAS</t>
  </si>
  <si>
    <t>Corporación Autónoma Regional del Alto Magdalena - CAM</t>
  </si>
  <si>
    <t>Periodo a reportar</t>
  </si>
  <si>
    <t>2023-I</t>
  </si>
  <si>
    <t>Corporación Autónoma Regional de Cundinamarca – CAR</t>
  </si>
  <si>
    <t>Nombre de la persona responsable del reporte</t>
  </si>
  <si>
    <t>JOSE RAMIRO BENJUMEA NARVAEZ</t>
  </si>
  <si>
    <t>Corporación Autónoma Regional del Canal del Dique – CARDIQUE</t>
  </si>
  <si>
    <t>Dependencia</t>
  </si>
  <si>
    <t>SUBDIRECCIÓN DE PLANIFICACIÓN AMBIENTAL DEL TERRITORIO</t>
  </si>
  <si>
    <t>Corporación Autónoma Regional de Sucre – CARSUCRE</t>
  </si>
  <si>
    <t>Cargo</t>
  </si>
  <si>
    <t>PROFESIONAL ESPECIALIZADO</t>
  </si>
  <si>
    <t>Corporación Autónoma Regional de Santander – CAS</t>
  </si>
  <si>
    <t>Correo electrónico</t>
  </si>
  <si>
    <t>joserbenjumea@corpocaldas.gov.co</t>
  </si>
  <si>
    <t>Corporación para el Desarrollo Sostenible del Norte y el Oriente Amazónico – CDA</t>
  </si>
  <si>
    <t>Teléfono</t>
  </si>
  <si>
    <t>Corporación Autónoma Regional para la Defensa de la Meseta de Bucaramanga – CDMB</t>
  </si>
  <si>
    <t>Corporación Autónoma Regional para el Desarrollo Sostenible del Chocó – CODECHOCÓ</t>
  </si>
  <si>
    <t>Corporación para el Desarrollo Sostenible del Archipiélago de San Andrés, Providencia y Santa Catalina – CORALINA</t>
  </si>
  <si>
    <t>Corporación Autónoma Regional del Centro de Antioquia – CORANTIOQUIA</t>
  </si>
  <si>
    <t>Corporación para el Desarrollo Sostenible del Área de Manejo Especial de La Macarena – CORMACARENA</t>
  </si>
  <si>
    <t>Corporación Autónoma Regional de las Cuencas de los Ríos Negro y Nare – CORNARE</t>
  </si>
  <si>
    <t>Corporación Autónoma Regional del Magdalena – CORPAMAG</t>
  </si>
  <si>
    <t>Corporación para el Desarrollo Sostenible del Sur de la Amazonia – CORPOAMAZONIA</t>
  </si>
  <si>
    <t>Corporación Autónoma Regional de Boyacá – CORPOBOYACÁ</t>
  </si>
  <si>
    <t>Corporación Autónoma Regional del Cesar – CORPOCESAR</t>
  </si>
  <si>
    <t>Corporación Autónoma Regional de Chivor – CORPOCHIVOR</t>
  </si>
  <si>
    <t>Corporación Autónoma Regional de La Guajira – CORPOGUAJIRA</t>
  </si>
  <si>
    <t>Corporación Autónoma Regional del Guavio – CORPOGUAVIO</t>
  </si>
  <si>
    <t>Corporación para el Desarrollo Sostenible de La Mojana y El San Jorge – CORPOMOJANA</t>
  </si>
  <si>
    <t>Corporación Autónoma Regional de Nariño – CORPONARIÑO</t>
  </si>
  <si>
    <t>Corporación Autónoma Regional de la Frontera Nororiental – CORPONOR</t>
  </si>
  <si>
    <t>Corporación Autónoma Regional de Risaralda – CARDER</t>
  </si>
  <si>
    <t>Corporación Autónoma Regional de la Orinoquia – CORPORINOQUIA</t>
  </si>
  <si>
    <t>Corporación para el Desarrollo Sostenible del Urabá – CORPOURABA</t>
  </si>
  <si>
    <t>Corporación Autónoma Regional del Tolima – CORTOLIMA</t>
  </si>
  <si>
    <t>Corporación Autónoma Regional del Atlántico – CRA</t>
  </si>
  <si>
    <t>Corporación Autónoma Regional del Cauca – CRC</t>
  </si>
  <si>
    <t>Corporación Autónoma Regional del Quindío – CRQ</t>
  </si>
  <si>
    <t>Corporación Autónoma Regional del Sur de Bolívar – CSB</t>
  </si>
  <si>
    <t>Corporación Autónoma Regional del Valle del Cauca – CVC</t>
  </si>
  <si>
    <t>Corporación Autónoma Regional de los Valles del Sinú y del San Jorge – CVS</t>
  </si>
  <si>
    <t>2016-I</t>
  </si>
  <si>
    <t>2016-II</t>
  </si>
  <si>
    <t>2017-I</t>
  </si>
  <si>
    <t>2017-II</t>
  </si>
  <si>
    <t>2018-I</t>
  </si>
  <si>
    <t>2018-II</t>
  </si>
  <si>
    <t>2019-I</t>
  </si>
  <si>
    <t>2019-II</t>
  </si>
  <si>
    <t>2020-I</t>
  </si>
  <si>
    <t>2020-II</t>
  </si>
  <si>
    <t>2021-I</t>
  </si>
  <si>
    <t>2021-II</t>
  </si>
  <si>
    <t>2022-I</t>
  </si>
  <si>
    <t>2022-II</t>
  </si>
  <si>
    <t>2023-II</t>
  </si>
  <si>
    <t>2024-I</t>
  </si>
  <si>
    <t>2024-II</t>
  </si>
  <si>
    <t>2025-I</t>
  </si>
  <si>
    <t>2025-II</t>
  </si>
  <si>
    <t>3201 – Fortalecimiento del desempeño ambiental de los sectores productivos.</t>
  </si>
  <si>
    <t>Porcentaje de avance en la formulación y/o ajuste de los Planes de Ordenación y Manejo de Cuencas (POMCAS), Planes de Manejo de Acuíferos (PMA) y Planes de Manejo de Microcuencas (PMM)</t>
  </si>
  <si>
    <t>3202 – Conservación de la biodiversidad y sus servicios ecosistémicos.</t>
  </si>
  <si>
    <t>Porcentaje de cuerpos de agua con planes de ordenamiento del recurso hídrico (PORH) adoptados</t>
  </si>
  <si>
    <t>3203 – Gestión integral del recurso hídrico.</t>
  </si>
  <si>
    <t>Porcentaje de Planes de Saneamiento y Manejo de Vertimientos (PSMV) con seguimiento</t>
  </si>
  <si>
    <t>3204 – Gestión de la información y el conocimiento ambiental.</t>
  </si>
  <si>
    <t>Porcentaje de cuerpos de agua con reglamentación del uso de las aguas</t>
  </si>
  <si>
    <t>3205 – Ordenamiento ambiental territorial.</t>
  </si>
  <si>
    <t>Porcentaje de Programas de Uso Eficiente y Ahorro del Agua (PUEAA) con seguimiento</t>
  </si>
  <si>
    <t>3206 – Gestión del cambio climático para un desarrollo bajo en carbono y resiliente al clima.</t>
  </si>
  <si>
    <t>Porcentaje de Planes de Ordenación y Manejo de Cuencas (POMCAS), Planes de Manejo de Acuíferos (PMA) y Planes de Manejo de Microcuencas (PMM) en ejecución</t>
  </si>
  <si>
    <t>3207 – Gestión integral de mares, costas y recursos acuáticos.</t>
  </si>
  <si>
    <t>Porcentaje de entes territoriales asesorados en la incorporación, planificación y ejecución de acciones relacionadas con cambio climático en el marco de los instrumentos de planificación territorial</t>
  </si>
  <si>
    <t>3208 – Educación Ambiental.</t>
  </si>
  <si>
    <t>Porcentaje de suelos degradados en recuperación o rehabilitación</t>
  </si>
  <si>
    <t>3299 – Fortalecimiento de la gestión y dirección del Sector Ambiente y Desarrollo Sostenible.</t>
  </si>
  <si>
    <t>Porcentaje de la superficie de áreas protegidas regionales declaradas, homologadas o recategorizadas, inscritas en el RUNAP</t>
  </si>
  <si>
    <t>No Aplica</t>
  </si>
  <si>
    <t>Porcentaje de páramos delimitados por el MADS, con zonificación y régimen de usos adoptados por la CAR</t>
  </si>
  <si>
    <t>Porcentaje de avance en la formulación del Plan de Ordenación Forestal</t>
  </si>
  <si>
    <t>Porcentaje de áreas protegidas con planes de manejo en ejecución</t>
  </si>
  <si>
    <t>Porcentaje de especies amenazadas con medidas de conservación y manejo en ejecución</t>
  </si>
  <si>
    <t>Porcentaje de especies invasoras con medidas de prevención, control y manejo en ejecución</t>
  </si>
  <si>
    <t>Porcentaje de áreas de ecosistemas en restauración, rehabilitación y reforestación</t>
  </si>
  <si>
    <t>Implementación de acciones en manejo integrado de zonas costeras</t>
  </si>
  <si>
    <t>Porcentaje de Planes de Gestión Integral de Residuos Sólidos (PGIRS) con seguimiento a metas de aprovechamiento</t>
  </si>
  <si>
    <t>Porcentaje de sectores con acompañamiento para la reconversión hacia sistemas sostenibles de producción</t>
  </si>
  <si>
    <t>Porcentaje de ejecución de acciones en Gestión Ambiental Urbana</t>
  </si>
  <si>
    <t>Implementación del Programa Regional de Negocios Verdes por la autoridad ambiental</t>
  </si>
  <si>
    <t>Tiempo promedio de trámite para la resolución de autorizaciones ambientales otorgadas por la corporación</t>
  </si>
  <si>
    <t>Porcentaje de autorizaciones ambientales con seguimiento</t>
  </si>
  <si>
    <t>Porcentaje de Procesos Sancionatorios Resueltos</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</si>
  <si>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</si>
  <si>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redes y estaciones de monitoreo en operación</t>
  </si>
  <si>
    <t>Porcentaje de actualización y reporte de la información en el SIAC</t>
  </si>
  <si>
    <t>Ejecución de Acciones en Educación Ambiental</t>
  </si>
  <si>
    <t>ANEXO No. 2.PROTOCOLO O GUÍA DE DILIGENCIAMIENTO</t>
  </si>
  <si>
    <t xml:space="preserve">MATRIZ DE SEGUIMIENTO A LA GESTIÓN Y DE AVANCE EN LAS METAS FÍSICAS Y FINANCIERAS DEL PLAN DE ACCIÓN </t>
  </si>
  <si>
    <t xml:space="preserve">ITEM </t>
  </si>
  <si>
    <t>DEFINICIONES</t>
  </si>
  <si>
    <t>(1) ESTRUCTURA PLAN DE ACCIÓN INSTITUCIONAL 2020 -2023</t>
  </si>
  <si>
    <t>Enuncie el nombre de cada uno de los componentes de la estructura jerárquica del PAC (Línea estrategica, Programa, Proyecto, Actividad). Inserte filas cuando sea necesario.</t>
  </si>
  <si>
    <t>(2) INDICADOR</t>
  </si>
  <si>
    <t>Indicador establecido para la medición del avance de cada una de las metas previstas en el PAC.</t>
  </si>
  <si>
    <t>(3) UNIDAD DE MEDIDA</t>
  </si>
  <si>
    <t>Relacione la unidad de medida por medio de la cual se determina la meta y el avance de la meta física, ejemplo hectáreas, número, porcentaje, metros, etcl</t>
  </si>
  <si>
    <t>(3) META FÍSICA ANUAL</t>
  </si>
  <si>
    <t>corresponde al valor de la meta anual programada para el año que se este evaluando, con relación a la acción estrategica o actividad registrado en la columna (1). Ejemplo: hectáreas reforestadas, microcuencas con plan de ordenamiento formulado, # de vertimientos reglamentados, etc.</t>
  </si>
  <si>
    <t xml:space="preserve">(4) AVANCE EJECUCIÓN DE LA META FISICA  </t>
  </si>
  <si>
    <t>Reporte el avance en la ejecución de la meta para el periodo evaluado en terminos de producto. Ejemplo: 35 hectáreas reforestadas, 3 microcuencas con plan de ordenamiento formulado, etc.  Si no se presenta avance diligenciar la matriz con ceros (0,0) y en ningún caso dejar celdas en blanco.</t>
  </si>
  <si>
    <t>(5) AVANCE DEL REZAGO DE LA META FISICA</t>
  </si>
  <si>
    <t xml:space="preserve">Corresponde al registro de avance en la ejecución de las metas del proyecto que no fueron cumplidas en la vigencia anterior. </t>
  </si>
  <si>
    <t xml:space="preserve">(6) PORCENTAJE DE AVANCE FISICO </t>
  </si>
  <si>
    <t>Calcule el porcentaje del avance anual de la Meta física programada. Divida el valor de la columna  (4) con el valor de la columna (3) y multiplique por 100. Si hay reporte de rezagos calcule el avance sumando el avance registrado en la respectiva vigencia con el avance de rezago, divida por el valor de la meta (columna 3) y multiplique por 100. 
El cálculo de avance de los niveles superiores debe afectarse por el valor de ponderación de la columna 14. Si no se presenta avance en el programa o proyecto, se deberá diligenciar la matriz con ceros (0,0) y en ningún caso dejar celdas en blanco.</t>
  </si>
  <si>
    <t xml:space="preserve">(7) DESCRIPCIÓN DEL AVANCE </t>
  </si>
  <si>
    <t>En esta columna se debe describir brevemente en que consiste el avance registrado</t>
  </si>
  <si>
    <t xml:space="preserve">(8) FECHA DE EJECUCION DE  LA EVIDENCIA </t>
  </si>
  <si>
    <t>Corresponde a la fecha de corte del reporte. Semestre I: 30 junio e informe anual: 31 diciembre</t>
  </si>
  <si>
    <t xml:space="preserve">(9) TIPO DE EVIDENCIA </t>
  </si>
  <si>
    <t>Indique si la evidencia que se registra corresponde a contratos o convenios o acciones de funcionamiento.</t>
  </si>
  <si>
    <t>(9-A) ACCIONES DE FUNCIONAMIENTO</t>
  </si>
  <si>
    <t>Si en la columna 9 seleccionó la opción funcionamiento, en esta columna debe indicar como se realizó.</t>
  </si>
  <si>
    <t>(9-B) ESTADO CONTRATO</t>
  </si>
  <si>
    <t>Si en la columna 9 seleccionó la opción contrato, en esta columna debe indicar si este se encuentra en ejecución, liquidado, con saldo a favor o en reserva.</t>
  </si>
  <si>
    <t>(9-B.1) N° CONTRATO</t>
  </si>
  <si>
    <t>Si en la columna 9 seleccionó la opción contrato, en esta columna debe indicar el número del contrato o convenio.</t>
  </si>
  <si>
    <t xml:space="preserve"> (10) META FISICA DEL PAC</t>
  </si>
  <si>
    <t>Identifique el valor  (en numero) de la meta del plan de acción con relación a las acciones estrategicas o actividades registradas en la columna (1). Ejemplo: hectáreas reforestadas, microcuencas con plan de ordenamiento formulado, # de vertimientos reglamentados, etc.</t>
  </si>
  <si>
    <t>(11) AVANCE ACUMULADO DE LA META FISICA</t>
  </si>
  <si>
    <t>Reporte el avance acumulado de la meta física que se obtenga desde la aprobación del Plan de Acción, incluyendo el periodo evaluado.  Ejemplo 100 Ha reforestadas (2020), más 140 Ha reforestadas (2021), para un acumulado de 240 Ha (2020+2021)</t>
  </si>
  <si>
    <t>(12) PORCENTAJE DE AVANCE FISICO ACUMULADO</t>
  </si>
  <si>
    <t>Calcule el porcentaje del avance de la Meta física acumulada. Divida el valor de la columna  (11) con el valor de la columna (10) y multiplique por 100.</t>
  </si>
  <si>
    <t>PONDERACIONES  PAC 2020 -2023</t>
  </si>
  <si>
    <t>Relacione aquí las ponderaciones o pesos dados a cada componente del Plan de Acción teniendo en cuenta que:
•	La suma de todas las ponderaciones de las líneas estratégicas debe ser 100.
•	La suma de las ponderaciones de los programas asociados a cada línea estratégica debe ser 100.
•	La suma de las ponderaciones de los proyectos asociados a los programas debe ser 100
•	La suma de las ponderaciones de los objetivos asociados a los proyectos debe ser 100.
•	La suma de las ponderaciones de los productos asociados al Objetivo debe ser 100.
•	La suma de las ponderaciones de las actividades asociadas a los objetivos debe ser 100.</t>
  </si>
  <si>
    <t>(14) PONDERACIÓN ANUAL DE PROGRAMAS  Y PROYECTOS VIGENCIA OBJETO DE REPORTE</t>
  </si>
  <si>
    <t>Relacione aquí las ponderaciones o pesos dados a cada componente del Plan de Acción en la vigencia objeto del reporte, teniendo en cuenta que, si alguna actividad, proyecto o programa no tiene metas para la vigencia el valor establecido para esta debe distribuirse de forma equitativa entre los componentes que si tienen meta.</t>
  </si>
  <si>
    <t>(15) META FINANCIERA ANUAL</t>
  </si>
  <si>
    <t>Relacione aquí de acuerdo al plan de inversión vigente (incluye adiciones o modificaciones) los montos de inversión anual previstos para cada Linea, programa, proyecto y actividad. Recuerde que no se pueden relacionar productos para actividades que no tienen meta asociada para la vigencia objeto de reporte</t>
  </si>
  <si>
    <t xml:space="preserve">(16) AVANCE DE LOS RECURSOS COMPROMETIDOS (Recursos comprometidos periodo Evaluado) </t>
  </si>
  <si>
    <r>
      <rPr>
        <sz val="7"/>
        <color theme="1"/>
        <rFont val="Arial Narrow"/>
        <family val="2"/>
      </rPr>
      <t>Reporte el avance acumulado para el periodo evaluado de la ejecución de recursos comprometidos de la respectiva meta financiera anual programada en la columna (15). Para el caso de los recursos de inversión ejecutados, se deben relacionar específicamente los montos que esten afectados bajo un</t>
    </r>
    <r>
      <rPr>
        <u/>
        <sz val="7"/>
        <color theme="1"/>
        <rFont val="Arial Narrow"/>
        <family val="2"/>
      </rPr>
      <t xml:space="preserve"> registro presupuestal</t>
    </r>
    <r>
      <rPr>
        <sz val="7"/>
        <color theme="1"/>
        <rFont val="Arial Narrow"/>
        <family val="2"/>
      </rPr>
      <t>, es decir, los recursos que han surtido todos lo pasos de destinación y efectivamente están designados para la ejecución de un proyecto o actividad.</t>
    </r>
  </si>
  <si>
    <t>(17)  PORCENTAJE DEL AVANCE DE COMPROMISOS % (Periodo Evaluado)</t>
  </si>
  <si>
    <t xml:space="preserve">Calcule el porcentaje del avance anual de la Meta financiera programada. Divida el valor de la columna  (16) con el valor de la columna (15) y multiplique por 100. </t>
  </si>
  <si>
    <t>(18) AVANCE DE LOS RECURSOS OBLIGADOS $</t>
  </si>
  <si>
    <t>Reporte el avance acumulado para el periodo evaluado de la ejecución de recursos obligados de la respectiva meta financiera anual programada en la columna (15). Se entiende por obligación el monto adeudado producto del desarrollo de los compromisos adquiridos por el valor equivalente a los bienes recibidos, servicios prestados y demás exigibilidades pendientes de pago. (manual para el registro de la contabilidad presupuestal pública)</t>
  </si>
  <si>
    <t>(19) PORCENTAJE DE AVANCE DE LOS RECURSOS OBLIGADOS  (AVANCE FINANCIERO)</t>
  </si>
  <si>
    <t xml:space="preserve">Calcule el porcentaje de ejecución financiera anual . Divida el valor de la columna  (18) con el valor de la columna (15) y multiplique por 100. </t>
  </si>
  <si>
    <t xml:space="preserve">(20) RESERVA PRESUPUESTAL 2023 </t>
  </si>
  <si>
    <t>Una reserva presupuestal se genera cuando el compromiso es legalmente constituido pero cuyo objeto no fue cumplido dentro del año fiscal que termina y será pagada con cargo a la reserva que se constituye a más tardar el 20 de enero de la vigencia siguiente. Se obtiene de restar el valor de la columna 16 con la columna 18</t>
  </si>
  <si>
    <t>(21) RESERVA PRESUPUESTAL DEL 2020</t>
  </si>
  <si>
    <t>Corresponde a los recuros que no lograron pagarse en la vigencia 2020</t>
  </si>
  <si>
    <t>(21-A) OBLIGACIONES DE LA RESERVA 2020</t>
  </si>
  <si>
    <t>Corresponde a los recursos de la reserva 2020 que lograron obligarse en la vigencia 2021</t>
  </si>
  <si>
    <t>(22) RESERVA PRESUPUESTAL DEL 2021</t>
  </si>
  <si>
    <t>Corresponde a los recuros que no lograron pagarse en la vigencia 2021</t>
  </si>
  <si>
    <t>(22-A) OBLIGACIONES DE LA RESERVA 2021</t>
  </si>
  <si>
    <t>Corresponde a los recursos de la reserva 2020 que lograron obligarse en la vigencia 2022</t>
  </si>
  <si>
    <t>(23) RESERVA PRESUPUESTAL DEL 2022</t>
  </si>
  <si>
    <t>(23-A) OBLIGACIONES DE LA RESERVA 2022</t>
  </si>
  <si>
    <t>Corresponde a los recursos de la reserva 2020 que lograron obligarse en la vigencia 2023</t>
  </si>
  <si>
    <t>(23-B) PORCENTAJE DE AVANCE EJECUCIÓN DE LA RESERVA 2022</t>
  </si>
  <si>
    <t xml:space="preserve">Calcule el porcentaje de ejecuciónde la reserva dividiendo el valor de la columna  (23A) con el valor de la columna (23) y multiplique por 100. </t>
  </si>
  <si>
    <t>(24) META FINANCIERA DEL PLAN</t>
  </si>
  <si>
    <t>Relacione aquí de acuerdo al plan de inversión del Plan de Acción  los montos de inversión previstos para cada programa o proyecto para los cuatro años. (incluye adiciones o modificaciones).</t>
  </si>
  <si>
    <t>(25) AVANCE ACUMULADO DE LREC. COMPROMETIDOS</t>
  </si>
  <si>
    <t>Reporte el avance acumulado de recursos comprometidoss en la vigencia del Plan de Acción, desde su aprobación hasta el periodo del informe.  Ejemplo $100'000.000.oo (2020) + $150'000.000.oo (2021), da un acumulado de inversión del Plan de Acción de $250'000.000.oo</t>
  </si>
  <si>
    <t>(26) PORCENTAJE DE  AVANCE RECURSOS COMPROMETIDOS</t>
  </si>
  <si>
    <t>Calcule el porcentaje del avance acumulado de los recursos comprometidos respecto a la Meta financiera programada en el Plan de Acción. Divida el valor de la columna  (25) con el valor de la columna (24) y multiplique por 100.</t>
  </si>
  <si>
    <t>(27) AVANCE ACUMULADO DE LA EJECUCIÓN DE META
FINANCIERA (REC. OBLIGADO</t>
  </si>
  <si>
    <t>Reporte el avance acumulado de recursos obligados en la vigencia del Plan de Acción, desde su aprobación hasta el periodo del informe.  Ejemplo $100'000.000.oo (2020) + $150'000.000.oo (2021), da un acumulado de inversión del Plan de Acción de $250'000.000.oo</t>
  </si>
  <si>
    <t>(28) PORCENTAJE DE  AVANCE FINANCIERO ACUMULADO</t>
  </si>
  <si>
    <t>Calcule el porcentaje del avance acumulado de los recursos obligados respecto a la Meta financiera programada en el Plan de Acción. Divida el valor de la columna  (27) con el valor de la columna (24) y multiplique por 100.</t>
  </si>
  <si>
    <t>(29) OBSERVACIONES</t>
  </si>
  <si>
    <t>Realice las respectivas observaciones que sean necesarias, principalmente cuando se requiera hacer alguna precisión sobre el avance de las metas físicas y financieras..</t>
  </si>
  <si>
    <t>(30) PROGRAMA DE INVERSIÓN PUBLICA A LA QUE APORTA</t>
  </si>
  <si>
    <t>Indique a nivel de programa del PAC a cual de los 9 programas de inversión pública del sector ambiente le aporta.</t>
  </si>
  <si>
    <t>(31) IMG AL QUE  APORTA</t>
  </si>
  <si>
    <t>Indique el IMG al cual le aporta información de variables para su cálculo.</t>
  </si>
  <si>
    <t>(32) INDICADOR ODS AL QUE LE APORTA</t>
  </si>
  <si>
    <t>Especifique el indicador asociados al Objetivo de Desarrollo Sostenible al cual le aporta  información de variables para su cálculo.</t>
  </si>
  <si>
    <t>COMPORTAMIENTO META FISICA 
PLAN DE ACCION</t>
  </si>
  <si>
    <t>COMPORTAMIENTO META FINANCIERA</t>
  </si>
  <si>
    <t xml:space="preserve">   (2) UNIDAD DE MEDIDA</t>
  </si>
  <si>
    <t>(3)META FISICA ANUAL
 (Según unidad de medida)</t>
  </si>
  <si>
    <t>(4) AVANCE EJECUCIÓN DE LA META
FISICA  
(Según unidad de medida y Periodo Evaluado)</t>
  </si>
  <si>
    <t>(5) AVANCE DEL REZAGO DE LA META FISICA 
(Según unidad de medida y Periodo Evaluado)</t>
  </si>
  <si>
    <t xml:space="preserve">(6) PORCENTAJE DE AVANCE FISICO %
(Periodo Evaluado)
((4/3)*100)
</t>
  </si>
  <si>
    <t>(7) DESCRIPCIÓN DEL AVANCE  2020 a 31  diciembre
(Describir brevemente el avance númerico registrado)</t>
  </si>
  <si>
    <t>(7) DESCRIPCIÓN DEL AVANCE  2021 a 31  diciembre
(Describir brevemente el avance númerico registrado)</t>
  </si>
  <si>
    <t>(7) DESCRIPCIÓN DEL AVANCE  2022 a 31  diciembre
(Describir brevemente el avance númerico registrado)</t>
  </si>
  <si>
    <t>(7) DESCRIPCIÓN DEL AVANCE  2023 a 31 octubre
(Describir brevemente el avance númerico registrado)</t>
  </si>
  <si>
    <t>(7-1) DESCRIPCIÓN DEL AVANCE Del cuatrienio 2020-2023
(Describir brevemente el avance númerico registrado)</t>
  </si>
  <si>
    <t xml:space="preserve"> (10) META FISICA DEL PAC (Según unidad de medida)</t>
  </si>
  <si>
    <t>(11) AVANCE ACUMULADO DE LA META FISICA (Según unidad de medida)</t>
  </si>
  <si>
    <t>(12) PORCENTAJE DE AVANCE FISICO ACUMULADO % 
((11/10)*100)</t>
  </si>
  <si>
    <t>(13)               PONDERACIONES  PAC 2020 -2023</t>
  </si>
  <si>
    <t>(15) META FINANCIERA ANUAL  ($) 2023</t>
  </si>
  <si>
    <t>(16) AVANCE DE LOS RECURSOS COMPROMETIDOS (Recursos comprometidos periodo Evaluado) ($)</t>
  </si>
  <si>
    <t>(17)  PORCENTAJE DEL AVANCE DE COMPROMISOS % (Periodo Evaluado) 
((16/15)*100) 2023</t>
  </si>
  <si>
    <t>(19) PORCENTAJE DE AVANCE DE LOS RECURSOS OBLIGADOS  (AVANCE FINANCIERO) ((18/15)*100)</t>
  </si>
  <si>
    <t>(20) RESERVA PRESUPUESTAL 2023 $
(16-18)</t>
  </si>
  <si>
    <t>(21) RESERVA PRESUPUESTAL DEL 2020
$</t>
  </si>
  <si>
    <t>(21-A) OBLIGACIONES DE LA RESERVA 2020
 $</t>
  </si>
  <si>
    <t>(22) RESERVA PRESUPUESTAL DEL 2021
$</t>
  </si>
  <si>
    <t>(22-A) OBLIGACIONES DE LA RESERVA 2021
 $</t>
  </si>
  <si>
    <t>(23) RESERVA PRESUPUESTAL DEL 2022
$</t>
  </si>
  <si>
    <t>(23-A) OBLIGACIONES DE LA RESERVA 2022
 $</t>
  </si>
  <si>
    <t>(23-B) PORCENTAJE DE AVANCE EJECUCIÓN DE LA RESERVA 2022 $
(23-A/23)</t>
  </si>
  <si>
    <t>(24)      META FINANCIERA   DEL PLAN             ($)</t>
  </si>
  <si>
    <t xml:space="preserve">(25) AVANCE 
ACUMULADO DE LREC. COMPROMETIDOS $
</t>
  </si>
  <si>
    <t xml:space="preserve">(26)
PORCENTAJE DE  AVANCE RECURSOS COMPROMETIDOS %
((25/24
</t>
  </si>
  <si>
    <t>(27) AVANCE 
ACUMULADO DE LA EJECUCIÓN DE META
FINANCIERA (REC. OBLIGADOS) $</t>
  </si>
  <si>
    <t xml:space="preserve">(28)
PORCENTAJE DE  AVANCE FINANCIERO ACUMULADO %
((27/24)*100)
</t>
  </si>
  <si>
    <t>(29)
OBSERVACIONES</t>
  </si>
  <si>
    <t>(30)
PROGRAMA DE INVERSIÓN PUBLICA A LA QUE APORTA</t>
  </si>
  <si>
    <t>(31)
IMG AL QUE  APORTA</t>
  </si>
  <si>
    <t>(32)
INDICADOR ODS AL QUE LE APORTA</t>
  </si>
  <si>
    <t>2020-2023</t>
  </si>
  <si>
    <t>Linea Estratégica Biodiversidad y sus servicios ecosistémicos</t>
  </si>
  <si>
    <t>PROGRAMA CONSERVACIÓN DE LA BIODIVERSIDAD Y SUS SERVICIOS ECOSISTÉMICOS</t>
  </si>
  <si>
    <t>Objetivo 15: Proteger, restablecer y promover el uso sostenible de los ecosistemas terrestres, gestionar los bosques de forma sostenible, luchar contra la desertificación, detener e invertir la degradación de las tierras y poner freno a la pérdida de la diversidad biológica</t>
  </si>
  <si>
    <t>SUBPROGRAMA I CONSERVACIÓN Y USO SOSTENIBLE DE LA BIODIVERSIDAD Y SUS SERVICIOS ECOSISTÉMICOS</t>
  </si>
  <si>
    <t xml:space="preserve">Proyecto 1:  Acciones  para la conservación de la biodiversidad y sus servicos ecosistémicos </t>
  </si>
  <si>
    <t>Gastos de Funcionamiento</t>
  </si>
  <si>
    <t>%</t>
  </si>
  <si>
    <t>Objetivo 16: Promover sociedades pacíficas e inclusivas para el desarrollo sostenible, facilitar el acceso a la justicia para todos y crear instituciones eficaces, responsables e inclusivas a todos los niveles</t>
  </si>
  <si>
    <t xml:space="preserve">Acciones de conservación y manejo en la estructura ecológica y otras áreas complementarias del departamento  </t>
  </si>
  <si>
    <t>Hectáreas con acciones de conservación y manejo en implementación, dentro de su Estructura Ecológica Principal (EEP)</t>
  </si>
  <si>
    <t>Hectáreas</t>
  </si>
  <si>
    <t>1)  Distrito de Manejo Integrado Laguna de San Diego, municipio de Samaná:  fortalecimiento y capacitación de los actores sociales para la conservación de las  757,28 hectáreas
2). Convenio municipio La Dorada:  conservación y recuperación de la Charca de Guarinocito, en el marco de la sentencia del Consejo de Estado No. 1700123000002003086601 acción popular Charca de Guarinocito
3). Convenio Marulanda para desarrollar acciones de protección y recuperación de algunos humedales Alto Andinos del Municipio 
4). 20 Convenios interadministrativos para desarrollar Acciones de Conservación de la Biodiversidad en el departamento: Aguadas, Viterbo, Pensilvania, Victoria, Samaná, Marquetalia, Norcasia, Manzanares, Marulanda, Salamina, La Merced, Filadelfia, Pácora, Aranzazu, San José, Belalcázar, Marmato, Riosucio, Risaralda, y Supía.  Para:  construcción de 66.553 ml aislamiento, que equivalen a una conservación pasiva de aproximadamente 401 hectáreas; una reforestación de 18 hectáreas, construcción de 308 estufas ecoeficientes con sus respectivos Bosques leñeros que corresponde a 30.873 árboles plantados, que equivalen a un área  reforestada estimada en 56,13 hectáreas.
5). la limpieza, manejo y conservación de la margen izquierda de la Ribera del Río Magdalena en La Dorada, partiendo desde la desembocadura del Rio Guarinó, hasta la desembocadura del Río La Miel en el centro poblado de Buenavista, en una longitud de 68 kilómetros”. Se vincula población de Pescadores.  Se proyecta aportar al manejo y conservación de alrededor de 68 hectáreas de áreas de rivera del rio.</t>
  </si>
  <si>
    <t>617 Hectáreas con acciones de conservación y manejo en implementación en
1) Distrito de Manejo Integrado Charca de Guarinocito 
2) Distrito de Manejo Laguna de San Diego
3) protección y recuperación de algunos humedales Alto Andinos
4) implementación de los planes de manejo de los acuíferos Santágueda - Km 41, Río Grande de la Magdalena y Río Risaralda
5.  En microcuencas abastecedoras en 20 municipios:  construcción de 60.553 metros lineales de aislamiento programados, que equivalen a una conservación pasiva de 365 hectáreas.
6.  66 estudas ecoeficientes y 6600 arboles leñeros 
7) Acciones de conservación y manejo en la Rivera del Río Magdalena - mantenimiento de los 13.156 árboles establecidos en el conveno anterior
La meta planeada fue ajustada mediante el acuerdo 18 del 2021</t>
  </si>
  <si>
    <r>
      <t>1.  DMI Charca de Guarinocito (3.164 m2) Espejo de agua: limpieza del espejo del humedal, y disposición final adecuada de los residuos sólidos, escombros y especies vegetales 473 Kg.</t>
    </r>
    <r>
      <rPr>
        <sz val="8"/>
        <color rgb="FFFF0000"/>
        <rFont val="Arial"/>
      </rPr>
      <t xml:space="preserve">
</t>
    </r>
    <r>
      <rPr>
        <sz val="8"/>
        <color theme="1"/>
        <rFont val="Arial"/>
      </rPr>
      <t xml:space="preserve">2.  conservación y manejo en la Rivera del Río Magdalena (102 Ha impactadas):  68 pescadores vinculados para ejecutar acciones de mejoramiento ambiental (labores de limpieza, recolección y extracción de residuos sólidos), mejorando las condiciones ambientales de 68 km lineales del Área Forestal Protectora AFP del río Magdalena.  se logró la extracción de más de 410 metros cúbicos de residuos sólidos.  Mantenimiento de 9,245 individuos arboreos y resiembra de 3961 arboles sobre la faja 
3.  A traves de la estrategia PorqueSembrarNosUne. Mantenimiento a 26,516 arboles
4. Implementación de planes de manejo ambiental de acuíferos Santágueda - Kilómetro 41 (34.666 ha), Río Grande de la Magdalena (52.500 ha) y Río Risaralda (32.641 ha).  
ACUIFERO LA MAGDALENA:  Piloto de proyecto compostaje casero - linea base de residuos ordinarios -  monitoreo veredas el tigre y la agustina en practivcas inadecuadas de disposicion de residuos.
ACUÍFERO DE SANTÁGUEDA KM 41 se identificaron 57 manantiales.  ACUÍFERO DEL RÍO RISARALDA se identificaron 47 manantiales.  
5. Microcuencas abastecedoras: ejecución a traves de convenios con municipios para desarrollar Acciones de Conservación de la Biodiversidad en el departamento. 25,410 ml de cerca inerte, 6,012 ml cerca viva, 222 Ha de cerca forestal protectora - 65,504 arboles con mantenimiento, 146 Ha Plana forestal bajo mantenimiento
6. proyecto piloto de restauración activa con enfoque de recuperación y enriquecimiento de coberturas naturales mediante la dispersión de semillas desde aeronaves no tripuladas en áreas degradadas de diferentes ecosistemas estratégicos del departamento de Caldas en el marco del convenio 035 de 2022 celebrado entre el Fondo Colombia en Paz y Corpocaldas:  permitió la entrega (dispersión) de semilla sobre un total de 220 hectáreas, sobre las cuales se realizaron acciones de seguimiento, entrega de fertilización y resiembra, impactando áreas de ecosistemas estratégicos como el páramo, de áreas protegidas como la Reserva Forestal Protectora Torre 4 y áreas afectadas por procesos erosivos severos como la Cárcava del Tablazo en Manizales y Salón Rojo (Buena vista) en Aranzazu
7.  Vivocuenca:  Producción de plántulas en la red de viveros y los mini viveros comunitarios construidos en el año 2021 - 60080 plantulas en 12 viveros - 39,4 has de bosque protector, 94,6 km de setos forrajeros (sistema silvopastoril), 18,9 km de cerco protector con eucalipto, y 15,5 km de cerco protector con guadua
8.  256 estufas ecoeficientes - 23.000 arboles dendoenergeticos
</t>
    </r>
  </si>
  <si>
    <t>acciones de conservación en areas protegidas: 
 Distrito de Manejo Integrado Charca de Guarinocito: extracción buchón – vinculación pescadores – vigilancia y monitoreo.
 Reserva Forestal Protectora RFP Tarcará - Municipio de Aguadas, Reserva Forestal El Diamante - Aranzazu, Reserva el Popal en Pensilvania, DMI laguna de San Diego - Samana - DMI Bellavista - Victoria : mantenimiento de cercas que permiten la restauracion - regeneracion natural.
 en ecosistemas estrategicos:
 complejo paramo los nevados: aislamiento areas forestales protectoras - recuperacion de cuerpos de agua en Marulanda, - vereda El Páramo, recuperacion de humedales del nacimiento del río Guarinó.
 Porque Sembrar Nos Une, mantenimiento y acompañamiento técnico a las acciones ejecutadas en torno a la gran jornada de siembra nacional. mantenimiento de 9.500 árboles sembrados en años anteriores .
 Ley 2173 de 2021 areas de vida:  a espera de su reglamentación por ahora desde la corporacion se da asistencia a los municipios en la identificacion de potenciales areas de vida.
 Con el Jardín Botánico del Magdalena - JBM se trabaja en: 1 Ha restauracion en Bosque Seco Tropical, 700 ml de aislamiento en humedal, recuperacion de guadual.
 Implementación de planes de manejo ambiental de acuíferos: Se adelanta tramite contractual con la Universidad de Antioquia para el desarrollo del componente IV: Investigación para la gestión del recurso hídrico subterráneo del Plan de Manejo del acuífero del Río Grande de la Magdalena.
 Abacos - microcuencas abastecedoras: se avanza en la ejecución de convenios interadministrativos celebrados con 21 municipios, con recursos de las vigencias 2022 y 2023, para desarrollar Acciones de Conservación de la Biodiversidad, restauración vegetal.
 Acciones de conservación y manejo en la Rivera del Río Magdalena: vinculación de 124 pescadores para ejecutar acciones de mejoramiento ambiental (labores de limpieza, recolección y extracción de residuos sólidos), mejorando las condiciones ambientales de 54 km de los 68 km lineales del Área Forestal Protectora AFP del río Magdalena. extracción de más de 460 metros cúbicos de residuos sólidos (telas, llantas, plásticos, residuos de construcción y demolición RCD, PET, material vegetal; entre otros).
 Acciones para la conservación en la Cuenca Hidrográfica del Río Chinchiná: Restauracion pasiva - corredores de conectividad - establecimiento de bosques - cercos vivos - arboles dispersos 
 Restauracion con Drones: 220 Ha en proceso de restauracion en ecosistemas de gran relevancia como páramos y bosques 
 altoandinos, así como en procesos erosivos severos como son Cárcava del Tablazo en Manizales y Salón Rojo (Buenavista) en Aranzazu.
 Estufas ecoeficientes:  convenios interadministrativos se avanza en la construccion de 88 estufas ecoeficientes y el establecimiento de 1.450 árboles en bosque leñeros. En contrato de donacion en la cuenca Miel se avanzo en la construccion de 50 estufas mas.</t>
  </si>
  <si>
    <t>La meta Acciones de conservación y manejo en la estructura ecológica y otras áreas complementarias del departamento para el cuatrienio, ha alcanzando niveles superiores a los previstos, lo cual se ha soportado en la planificación y ejecución de convenios y otros mecanismos contarctuales y de gestión,  celebrados y/o que involucran el apoyo a los 27 municipios del departamento, para desarrollar acciones de conservación de la biodiversidad, restauración y reconversión productiva.  Así mismo, se adelantaron acciones de conservación y manejo de áreas protegidas y de ecosistemas estratégicos, favoreciendo el aislamiento de áreas, la revegetalización y el mantenimiento de áreas bajo restauración o de cercos vivos ya establecidos, entre otras. Estas acciones se han apalancado con el apoyo de proyectos y programas como Isagen Miel, el Fondo de Agua Vivocuenca,  Mujeres Cafeteras  Sembrando Sostenibilidad, organizaciones indigenas, afrodescendientes y campesinas, los municipios y el departamento, en interacción con comunidades locales, ONG, academia y otros actores, interviniendo sobre areas priorizadas.</t>
  </si>
  <si>
    <t>Asesorías y seguimiento a las acciones para la conservación de la biodiversidad y servicios ecosistémicos.</t>
  </si>
  <si>
    <t>Municipios asesorados en conservación de la biodiversidad y servicios ecosistémicos</t>
  </si>
  <si>
    <t>Número</t>
  </si>
  <si>
    <t>Se brindaron asesorias en:  
1.  conceptos técnico ambientales de viabilidad para la adquisición (art 111, ley 99/93)
2.  conceptos para el cumplimiento de los determinantes ambientales
3.  conceptos para la agencia nacional de tierras
4.  actividades de extensión relacionadas con uso y el aprovechamiento de los recursos naturales
5.  Asesoría y acompañamiento en la implementación de esquemas de PSA municipales (Dec. 1007-2018).</t>
  </si>
  <si>
    <t xml:space="preserve">Las asesorías se enfocaron a la atención de las 27 administraciones municipales y el acompañamiento en: 
1) desarrollo de los convenios interadministrativos de restauración de microcuencas 
2) atención de 15 solicitudes de conceptos técnico ambientales de viabilidad para la adquisición de predios en el marco del artículo 111, ley 99/93; 
3) 147 certificaciones con determinantes ambientales, sobresaliendo igual que en otros periodos el oriente Caldense con los municipios de Samaná, Marquetalia y Pensilvania
4) 35. conceptos para la Agencia Nacional de Tierras en el programa de restitucion de tierras:  </t>
  </si>
  <si>
    <t>Asesoría y acompañamiento en la implementación de esquemas de Pagos por Servicios Ambientales PSA municipales (Decreto 1007-2018).
1.	Desde el ejercicio de asistencia técnica del Convenio de Donación se ha brindado acompañamiento los municipios de Norcasia, Manzanares, Samaná, Victoria, Pensilvania y Marquetalia, bajo una estrategia de apoyo permanente a municipios ubicados dentro de la cuenca hidrográfica del rio La Miel, en el oriente caldense
2.  Asistencia técnica a municipios y otros actores territoriales.
3.  Programa Restitución de Tierras – Agencia Nacional de Tierras y Unidad de Restitución de Tierras.En el año del 2022, se dieron 178 certificaciones con determinantes ambientales, sobresaliendo igual que en otros periodos, el oriente Caldense con los municipios de Samaná, Marquetalia y Pensilvania.   De estos 109, corresponden a determinantes para predios del programa de restitución de tierras</t>
  </si>
  <si>
    <t>1. en la implementación de esquemas de Pagos por Servicios Ambientales PSA municipales: Marulanda, Filadelfia y San José
 2. atencion de PQR 
 3. Elaboracion conceptos tecnicos a predios para adquisicion por articulo 111 de la ley 99
 4. Asistencia agencia de restitucion de Tierras: 135 Conceptos Técnicos Ambientales con las respectivas Determinantes Ambientales, sobresaliendo igual que en otros períodos, los municipios del oriente caldense como Samaná, Marquetalia y Pensilvania
 5. Asistencia en prevención y atención de incendios forestales</t>
  </si>
  <si>
    <t xml:space="preserve">1) Acompañamiento y apoyo en el desarrollo de acciones de manejo y conservación del patrimonio natural asociado a microcuencas abastecedoras y otras áreas de importancia ambiental, la cual se concreta a través de convenios con los municipios y otros mecanismos de asistencia directa
2) Apoyo a 6 municipios del oriente caldense, a través del Convenio Isagen Miel
3) Gestión compartida en torno a acciones sobre áreas protegidas, con municipios en los cuales se encuetran presentes dichas areas; 
4) Atención a PQR relacionados con situaciones de riesgo y/o conflictos generados por especies de Fauna y Flora
5) Asesoramiento en torno a esquema de Pago por Servicios Ambientales (PSA), aplicables bajo el marco normativo vigente;
6) Acompañamiento realizado a municipios, frente al dialogo con el sector aguacatero presente en el departamento; 
7) Emisión de conceptos técnicos en torno a predios candidatos para su adquisición a la luz del artículo 111 de la ley 99 de 1993, así como en procesos de restitución de tierras y de predios productivos aguacateros; 
8) Apoyo a través de la vinculación de Corpocaldas a Vivocuenca, que involucra acompañamiento a los municipios de la región centro sur de Caldas; 
9) Apoyo al desarrollo de las Caravanas Abientales, adelantadas en los municipios, brindando asistencia y apoyo sobre tramites ambientale; 
10) Apoyo y aistencia sobre la gestión de la biodiversidad urbana, en municipios priorizados. </t>
  </si>
  <si>
    <t>Acciones de conservación y manejo en especies de fauna y flora</t>
  </si>
  <si>
    <t>Especies de fauna y flora nativa con acciones de conservación y manejo en implementación</t>
  </si>
  <si>
    <t>1). Titi Gris:  Acuerdo 006  Convenio Isagen Miel Aunar esfuerzos, técnicos, administrativos, financieros, logísticos y académicos para desarrollar e implementar el proyecto Plan de Conservación de Tití gris en las áreas de influencia de la Central Hidroeléctrica Miel I.
2) Condor:  labores de educación ambiental y recopilar información del Cóndor en el PNNN como insumo para actualizar el plan de conservación la especie, se continúan con los preparativos del censo simultaneo de cóndores en el PNNN integrándolo al censo nacional
3). Pacarana:  manejo de 16 ejemplares de pacarana liberados en septiembre 2020 
4). Anfibios:  ACUERDO DE RESTAURACIÓN ECOLÓGICA PARTICIPATIVA PARA LA CONSERVACIÓN DEL BOSQUE ANDINO Y LA RESTAURACIÓN DE HÁBITAT PARA LOS ANFIBIOS AMENAZADOS EN PREDIO QUE LIMITA CON EL PNN SELVA DE FLORENCIA, SUSCRITO ENTRE PARQUES NACIONALES NATURALES
5). Palma de Cera 
6) Musgo 
7) Viveros de reproduccion de especies como:  Nacederos, Dragos, Arboloco, Chachafrutos, Sietecueros, Cedro Negro, Cedro Rosado, Guamo Machete, Gualanday, Guayacán, Arrayán de Manizales, Pino Colombiano
8) Frailejon:  Con batallon Ayacucho y Guali</t>
  </si>
  <si>
    <t>Especies de fauna y flora nativa con acciones de conservación y manejo
1). Conservación de Cóndor Andino:  actualmente se tienen registros de 4 machos y 2 hembras y hay evidencia de reproducción para una pareja de cóndores reintroducidos del núcleo de repoblación del PNN Los Nevados 
2). Conservación de Titi Gris:  En convenio con ISAGEN se le da continuidad al Plan de Conservación. una vez fueron liberados, exploraron adecuadamente el entorno, permanecieron juntos y se alejaron de los seres humanos
3) 2.504  animales ingresados  y 1.322 animales liberados.  De los ingresados en los CAV:  (36% mamiferos - 49% avers - 13% reptiles - 2% otros.
4) articulacion interisntitucional con otras CARS para conservacion y bienestar de la fauna manejada (CORPOAMAZONIA - CORPOBOYACA - CORPONARIÑO)
5) Acciones de conservacion para la Palma de Cera - Comino Crespo - Roble - Pino colombiano - molinillo. 
6) Viveros en el occidente - Norte - centro sur:  se produjeron 20,000 plantulas.  Con CHEC Y Fundacion ecologica cafetera 35 arboles.  los cuales han servido para las jornadas de siembra.  
La unidad de medida es en numero de especies</t>
  </si>
  <si>
    <t xml:space="preserve">1. Fauna Con planes de Manejo tres, el tití gris, la falsa guagua y  el cóndor andino las cuales son prioridad en el departamento de Caldas y con las que se han logrado avances significativos en su conservación a tal grado que se puede considerar que las poblaciones de tití gris (Saguinus leucopus) son saludables y estables para Caldas, no obstante aún persisten algunas zonas donde la deforestación avanza y hay capturas para el mercado ilegal de mascotas.  Corpocaldas fue nombrada coordinadora de las Autoridades Ambientales y de los Centros de Rescate para la implementación del Plan de Acción para la conservación del Tití gris que fusiona el Plan Nacional con el Plan Internacional para la conservación del Tití.
2. Fauna Sin planes de manejo.  En el año 2022, ingresaron en total 2.330 animales a CORPOCALDAS, 1.116 Aves, 923 Mamíferos, 280 Reptiles y 10 Anfibios, estos últimos de especies exóticas, 3 ajolotes, 9 hurones,  y 7 ranas africanas, además 2 arácnidos y un molusco
3.  Flora con planes de manejo:  Palma de cera, roble, pino colombiano, comino crespo
4.  Durante el año 2022, se atendieron, tramitaron y dio respuesta a solicitudes de aprovechamiento forestal en volumen 18.393,43 m3 en 330 solicitudes
5.  prevencion y control de incendios forestales 
6.  en diferentes operativos de control realizados en las vías del departamento, efectuó el decomiso de 11.94 m3 de cedro rosado (Cedrela odorata), siete  cueros (Tibouchina lepidota) e higuerón (Ficus Sp), material que fue dispuesto en el CAV de flora
7.  Viveros de produccion vegetal. a través de la Red Caldense de Viveros para la Conservación y Restauración se cuenta con 22 viveros con un portencial de produccion de 459.000 especimenes anuales.  </t>
  </si>
  <si>
    <t>1. Titi - gris. Contrato con ISAGEN. Actividades para la ejecución del Plan de Conservación
 2. Falsa Guagua: liberacion de 5 individuos - monitoreo y enriquecimiento
 3. Condor andino: proyecto de reintroducción al Parque Nacional Natural PNN Los Nevados y su zona amortiguadora. Monitoreadas 7 ejemplares
 4. zoocria de loros y guacamayas
 5. CAV: ingresaron en total 1.557 animales a CORPOCALDAS, así: 685 Aves, 617 Mamíferos, 247 Reptiles y 8 ejemplares de otros grupos taxonómicos. Mayor porcentaje (loros, pericos y guacamayas). 1081 entregas voluntarias - 286 rescates - 119 hallazgos - 2 incautaciones - 1 decomiso preventivo - 1 traslado de otro CAV. 793 Liberaciones en el primer semestre: 246 aves, 297 mamíferos, en su mayoría zarigüeyas y 193 reptiles
 6. Palma de cera: generación de actividades de conservación y repoblación en corregimiento de San Félix 150 palmas. se trabaja especialmente con sensibilización en época de Semana Santa en los municipios de Riosucio, Aguadas, Pácora, Salamina, Marulanda, Neira, Manizales, Villamaría.
 7. Impulso a la reproducción de material vegetal para procesos de conservación: tres viveros en la corporacion + fortalecimiento vivero municipio de la Dorada. 
 8. Red de Viveros para la Conservación con un total de 19 viveros articulados, entre los que se cuentan, los viveros de la Alcaldía de Manizales, Red de Ecoparques, Chec-EPM-FEC, Vivocuenca, Mujeres Cafeteras, Resguardo Cañamomo Lomaprieta, El Edén, Alcaldía de La Dorada, Ejército Nacional y Corpocaldas. Estos viveros cuentan con un potencial de producción cercano a los 180 mil árboles. 6 de estos 19 viveros certificados ante el ICA.</t>
  </si>
  <si>
    <t xml:space="preserve">Las especies de fauna silvestre con las que se han trabajado durante el cuatrienio son 10:
1. Cóndor Andino del cual se realizaron labores de educación ambiental, seguimiento poblacional y un censo en el PNNN y su zona amortiguadora. 
2.  Mono Titi del que se publicó un Atlas de anatomía, se realizó un estudio de poblaciones. se realizó un estudio genético de poblaciones naturales de Titi. Adicionalmente se instalaron 30 puentes para Titi en el oriente de Caldas. En el periodo se han liberado 4 grupos de Titi, para un total de 14 animales que fueron rehabilitados en el CRFSOC, uno de estos grupos fue monitoreado con telemetría.  En el 2020 se realizó el festival del Titi gris en Norcasia. 
3.  Continuamente con el personal de planta se desarrollan labores educativas y de control al tráfico y la tenencia ilegal de fauna silvestre actividad que se fortaleció con algunos contratos, durante el cuatrienio se han rescatado 32 Saguinus leucopus , 1 Dinomys branickii , 9 Leopardus tigrinus, 1 Puma concolor, 254 Chelonoidys carbonaria, 9 Caiman crocodilus, 7 Chelydra acutirostris y 9 Trachemys  callirostris, los cuales fueron manejados según la resolución 2064 del 2010, muchos fueron sometidos a procesos de rehabilitación logrando liberar el 54 % del total. Igualmente, se han desarrollado acciones de manejo ex situ de la guagua loba y se han liberado 23 ejemplares en la cuenca del rio Chinchiná. 
4.  Permanentemente se atienden los conflictos generados con el Jaguar, el puma y pequeños felinos.
5.  Todos los años durante la Semana Santa se intensifican las labores educativas en torno al Loro orejiamarillo el cual vive en la Palma de Cera			
			</t>
  </si>
  <si>
    <t>Acciones de biodiversidad urbana en los municipios del departamento, implementadas.</t>
  </si>
  <si>
    <t>Municipios con política pública de biodiversidad urbana en implementación
 el nombre del indicador cambia por 
municipios acompañados en el desarrollo de acciones de biodiversidad urbana</t>
  </si>
  <si>
    <t xml:space="preserve">Aun no se cuenta con un municipio con la politica de biodiversidad Urbana establecida, en Manizales se han hecho acercamientos y se conforma la mesa. </t>
  </si>
  <si>
    <t>con la Alcaldía de Manizales y la Universidad de Caldas, se concretó una propuesta para establecer un programa de monitoreo participativo de la biodiversidad en la ciudad de Manizales, que genera línea base sobre el estado de dicha biodiversidad, favorece la construcción participativa del programa y alimenta la construcción de la política pública en materia de Biodiversidad Urbana.  De igual manera se acompaña con la gestión de Manizales como Biodiverciudad, programa liderado por el Ministerio de Ambiente y Desarrollo Sostenible.</t>
  </si>
  <si>
    <t>Con Manizales se avanza en la ejecucion del convenio que tiene por objeto:  diseñar e implementar un programa de monitoreo y apropiación social de la biodiversidad en áreas de interés ambiental consideradas en la estructura ecológica principal del municipio de Manizales como insumo para la política pública de biodiversidad urbana.  (Ecoparques Los Yarumos, Alcázares, Bosque Popular El Prado, Monteleón y Parque Central Universitario).  
Registro de las siguientes especies 
	8 especies de anfibios
	11 especies de reptiles, distribuidas en cinco familias.
	190 especies de aves distribuidas en 45 familias.
	48 especies de mamíferos
	84 especies de mariposas diurnas en las cinco áreas evaluadas.
•	Línea base de la estructura y composición de la flora 
•	Diseñó de una estrategia participativa de monitoreo de la biodiversidad, integrando las comunidad a través de la realización de Jardines Funcionales
•	Implementación de la primera fase del Programa de Monitoreo de Biodiversidad
•	Insumos para la formulación de la Política Pública de Biodiversidad de Manizales
a)	Proyecto Aire – Biodiverciudades, desarrollado en el marco de la implementación del convenio 1083 de 2021 suscrito entre el Ministerio de Ambiente y Desarrollo Sostenible y la Universidad Pontificia Bolivariana – UPB
	Ciencia Ciudadana “BioBlizt”: Se participó del ejercicio de  Ciencia Ciudadana a través del cual, con coordinación del IAvH y la participación de 35 observadores entre los que se destacan expertos en biodiversidad de la ciudad y ciudadanos interesados en la misma, se adelantaron registros de biodiversidad  en la ciudad de Manizales, sobre cuatro puntos: Jardín Botánico, Ecoparques Los Yarumos,Los Alcazares, y Bosque Popular, registrando a través de herramientas digitales como Ebird y INaturalist, cuatro grupos cuales son Plantas, Aves, Herpetos e Insectos
Municipio de la Dorada programa guardianes de los humedales</t>
  </si>
  <si>
    <t>A traves de Vivocuenca se suscribe convenio con la alcaldia de Manizales para la formulación y actualización de los instrumentos de planificación de las áreas de interés ambiental, impulsando la gestión integral de la biodiversidad urbana y sus servicios ecosistemicos
Con el municipio de la Dorada se avanza en el inventario de arboricultura urbana del municipio de La Dorada con el apoyo de una aplicación móvil mediante ARCGIS ONLINE, a la fecha de 14,381 árboles.</t>
  </si>
  <si>
    <t xml:space="preserve">Conformación de mesa de Biodiversidad Urbana en la ciudad de Manizales, para proyectar diseño de la política de biodiversidad urbana; posteriormente con la Alcaldía de Manizales y la Universidad de Caldas, se concretó una propuesta para establecer un programa de monitoreo participativo de la biodiversidad en la ciudad de Manizales, que generó línea base sobre el estado de dicha biodiversidad, favorecio la construcción participativa del programa y alimentó la construcción de la política pública en materia de Biodiversidad Urbana; en una segunda etapa, a traves de Vivocuenca se suscribio convenio con la alcaldia de Manizales para la formulación y actualización de los instrumentos de planificación de las áreas de interés ambiental, impulsando la gestión integral de la biodiversidad urbana y sus servicios ecosistemicos.
De igual manera se implementaron acciones de biodiversidad Urbana, manejo y conservación de la biodiversidad urbana en Villamaría, Manizales, a traves del apoyo a la valoración de la arboricultura urbana.
En el municipio de la Dorada, de la mano de la administración municipal, se apoyo la actualización del censo de arboriucultura urbana, con el apoyo de una aplicación móvil mediante ARCGIS ONLINE, registrando un total de 17,924 árboles; esta interacción tambien permitio fortalecer la señaletica urbana en torno a la biodiversidad, asi como impulsar con apoyo de la JAC del Barrio Las Villas, una estrategia de conservación de abejan nativas sin aguijon, que permanecen en el entorno urbnano. "			
			</t>
  </si>
  <si>
    <t>Acciones de conservación y manejo en la estructura ecológica y otras áreas complementarias de los territorios indígenas</t>
  </si>
  <si>
    <t>Acciones de conservación y manejo en implementación, dentro de la Estructura Ecológica Principal (EEP) en territorio indígenas</t>
  </si>
  <si>
    <t>1). convenio 196 de 2019, con el resguardo Cañamomo Lomaprieta se realizaron acciones reforestación, aislamiento, producción de material vegetal y mantenimiento de áreas reforestadas, en sitios de interés espiritual y ambiental del resguardo como Sinifaná, Carbunco, Mandeval
2) convenio 272 de 2020, en ejecucion la realización de 8 mingas de siembra de agua (reforestación/restauración/ siembra), 2 mingas de siembra en la parcialidad La Soledad, 400 metros de franja amarilla en Cartama, sobre la Quebrada Aguas Claras.</t>
  </si>
  <si>
    <t>En convenio desarrollado con ACICAL se desarrollaron:  
1) 8 mingas de “siembra de agua”
2) 2 mingas de siembra de sombrío sobre caminos ancestrales de la Parcialidad Indígena de La Soledad. 
3) Caracterización de 3 zonas de interés ambiental y espiritual al interior de la cuenca Risaralda.
Con los Municipios de Riosucio, Supia y el resguardo Indígena Cañamomo Lomaprieta: 
1) establecimiento de 1612 metros de cerca de viva 
2) mantenimiento de 2.120 metros sobre cerca inerte sobre faja protectora en las Comunidades de la Iberia y Paneso
3) mantenimiento de 25 hectáreas de plantación protectora con especies propias de la zona.
con el resguardo indígena de Escopetera y Pirza:  26 estufas ecoeficientes y 2600 árboles leñeros.
Con el resguardo indígena de San Lorenzo, el cual contempla el desarrollo de acciones de protección y recuperación de la microcuenca las estancias
Con el resguardo Indígena Nuestra Señora Candelaria de la Montaña, se establecieron 40 estufas en viviendas y familias integrantes del resguardo y se plantaron 4000 árboles de bosques leñeros</t>
  </si>
  <si>
    <t>1.  recorridos de caracterización de zonas de interés espiritual y ambiental en la cuenca Risaralda (sitios sagrados El gallo, El Duende y El Encanto).
2.  se establecieron 2 viveros nuevos, se fortalecieron 5 viveros en el resguardo Escopetera y Pirza, se establecieron 400 metros de franja amarilla en la parcialidad de Cartama y se establecieron dos vallas informativas.
3.  26 Estufas ecoeficientes en el Resguardo Indígenas Escopetera y Pirza y siembra de 2.600 árboles leñeros
4.  se realizó un ejercicio de cartografía social, incluyendo algunos elementos de zonificación predial del proyecto OEC en las comunidades de Cañamomo y Pulgarín, pertenecientes al Resguardo Indígena Cañamomo Lomaprieta en el municipio de Riosucio</t>
  </si>
  <si>
    <t>Con ACICAL se realizan los aislamientos en microcuencas de los resguardos Escopetera y Pirza, la Albania y Totumal, las parcialidades la Trina y Cartama y el asentamiento Damasco y la restauración del sitio sagrado Makinado en el resguardo la Albania. se construye un vivero en el resguardo Escopetera y Pirza.
 Con el Resguardo de La Montaña se encuentra en ejecución el convenio 124-2022, para la instalación de 106 estufas ecoeficientes y 106 huertos leñeros</t>
  </si>
  <si>
    <t>Se cumplió la meta del cuatrienio con la implementación de varias acciones de conservación: En convenio con el resguardo Cañamomo Lomaprieta se realizaron acciones de reforestación, aislamiento, producción de material vegetal y mantenimiento de áreas reforestadas en sitios de interés espiritual y ambiental en los cerro Sinifaná, Carbunco y Mandeval; asi mismo se realizaron 8 mingas de siembra de agua (reforestación/restauración/siembra), 2 mingas de siembra de árboles en la parcialidad la Soledad, 400 metros de franja amarilla en la parcialidad Cartama sobre la Quebrada Aguas Claras. En convenio desarrollado con ACICAL se desarrollaron 8 mingas de “Siembra de Agua”; 2 mingas de Siembra de Arboles de sombrío sobre caminos ancestrales en la Parcialidad La Soledad; caracterización de 3 zonas de interés ambiental y espiritual en la cuenca del rio Risaralda. Con el resguardo Indígena Cañamomo Lomaprieta se realizó establecimiento de 1.612 metros de cerca de viva; mantenimiento de 2.120 metros sobre cerca inerte sobre la faja protectora en las Comunidades la Iberia y Paneso; mantenimiento de 25 hectáreas de plantación protectora con especies propias de la zona. Con el resguardo indígena de Escopetera y Pirza se instalaron 26 estufas ecoeficientes y 2.600 árboles para bosque leñeros. Con el resguardo San Lorenzo se ejecutaron acciones de protección y recuperación de la microcuenca del rio las estancias. Con el resguardo de la Montaña se establecieron 40 estufas ecoeficientes y se plantaron 4000 árboles para huertos leñeros. También se realizaron recorridos de caracterización de zonas de interés espiritual y ambiental en la cuenca del rio Risaralda (sitios sagrados el Gallo, el Duende y el Encanto); se establecieron 2 viveros y se fortalecieron 5 viveros en el resguardo Escopetera y Pirza, se establecieron 400 metros de franja amarilla en la parcialidad Cartama y se establecieron 2 vallas informativas. Se instalaron 26 estufas ecoeficientes en el Resguardo Escopetera y Pirza y siembra de 2.600 árboles para huertos leñeros. Se realizó un ejercicio de cartografía social, incluyendo algunos elementos de zonificación predial del proyecto OEC en las comunidades de Cañamomo y Pulgarín del Resguardo Cañamomo Lomaprieta en el municipio de Riosucio. Adicionalmente se establecieron 6.350 metros lineales de franjas amarillas en microcuencas en convenio con ACICAL en los Resguardos indígenas la Albania (1.700m), Totumal (1.500m) y Escopetera Pirza (1.000m), Parcialidades la Trina (900m) y Cartama (1450m) y asentamiento Damasco (400m). Se implementó un (1) vivero en el resguardo Escopetera y Pirza para 3.000 plántulas. En el resguardo la Albania se recupera el sendero del sitio sagrado Makina-Do. Con el resguardo Cañamomo Lomaprieta se realizó mantenimiento a 20 ha de reforestación, un plan de monitoreo a sitios sagrados y plan de acción para la quebrada Pulgarín. En convenio con el Resguardo de La Montaña se realizó la instalación de 106 estufas ecoeficientes y 106 huertos leñeros. "</t>
  </si>
  <si>
    <t xml:space="preserve">Acciones de conservación y manejo en especies de fauna y flora en territorios indígenas </t>
  </si>
  <si>
    <t>Especies de fauna y flora nativa con acciones de conservación y manejo en implementación en territorios indígenas</t>
  </si>
  <si>
    <t>1). Capacitación gestión y manejo de fauna silvestre
2). Viveros de producción de material vegetal de especies nativas y de interés ambiental</t>
  </si>
  <si>
    <t>Desde el marco del convenio suscrito con el Resguardo Indígena de San Lorenzo,  se hizo evidente la presencia de especies de flora y fauna que cuentan con planes de manejo, destacándose registro de oso de anteojos, Tigrillo y Palma de cera
se fortalecen 2 viveros comunitarios permanentes en la parcialidad de Cartama y 5  viveros comunitarios satélites en el resguardo indígena Escopetera, desde donde se avanza en la producción de 10 mil plántulas</t>
  </si>
  <si>
    <t>Se adelantaron acciones de manejo y conservación del perro de monte (Potos flavus) en el asentamiento indígena de Dachi Drua
con el Resguardo Indígena Escopetera y Pirza, se estableció un trabajo en procura de favorecer el manejo, prevención y control del Caracol Gigante Africano</t>
  </si>
  <si>
    <t>Resguardo San Lorenzo dentro de las actividades de caracterización de flora y fauna realizadas en cumplimiento de la Sentencia 025 de 2018 de Agencia Nacional para la Restitución de Tierras, se encontró una nueva especie de flora la cual espera ser reportada para su debida identificación y clasificación</t>
  </si>
  <si>
    <t>Se dictaron capacitación en gestión y manejo de fauna silvestre; viveros de producción de material vegetal de especies nativas y de interés ambiental; - En convenio con el Resguardo San Lorenzo, se hizo evidente la presencia de especies de flora y fauna que cuentan con planes de manejo, destacándose registro de Oso de Anteojos, Tigrillo y Palma de Cera; - Se fortalecieron 2 viveros comunitarios en la parcialidad Cartama y 5 viveros comunitarios satélites en el resguardo Escopetera y Pirza para la producción de 10 mil plántulas; - Se adelantaron acciones de manejo y conservación del perro de monte (Potos flavus) en el asentamiento Dachi Drua; - En el resguardo San Lorenzo dentro de las actividades de caracterización de flora y fauna realizadas en cumplimiento de la Sentencia 025 de 2018 de Agencia Nacional para la Restitución de Tierras, se encontró una nueva especie de flora la cual espera ser reportada para su debida identificación y clasificada taxonómicamente.</t>
  </si>
  <si>
    <t>Caracterización y monitoreo de las estrategias complementarias de conservación</t>
  </si>
  <si>
    <t>Municipios con caracterización de las estrategias complementarias de conservación</t>
  </si>
  <si>
    <t>Se avanza en 19 municipios de Caldas, de los 5 priorizados para el 2020 (Viterbo, San José, Risaralda, Belalcázar, Anserma, Riosucio, Supía, Marmato, La Merced, Filadelfia, Salamina, Aranzazu, Neira, Palestina, Villamaría, Samaná, Norcasia, Victoria y La Dorada).
han sido contactados 205 actores (naturales y jurídicos), con quienes ha sido posible obtener información relevante, consolidando un total de 177 posibles OEC para el departamento de Caldas, las cuales representan alrededor de  4000 hectáreas de zonas con evidencias de conservación</t>
  </si>
  <si>
    <t xml:space="preserve">27 Municipios con caracterización de las estrategias complementarias de conservación
Identificación de más de 360 predios públicos y privados con potencial de OEC en el departamento, incluyendo aspectos como: objetos de conservación, tipo de filiación, tiempo de constitución, tipo de manejo, tipo de ecosistema, tamaño y conflictos.
Se tiene diagnostico predial participativo para el establecimiento de la ruta de declaratoria de 10 reservas de la sociedad civil que sumarian aproximadamente 1000 Ha mas </t>
  </si>
  <si>
    <t>1.  Reservas Naturales de la Sociedad Civil RNSC:  
2.  Se está apoyando la conformación de una red de los propietarios y predios interesados en ser reconocidos como OEC y se han adelantado reuniones con las administraciones municipales de Manizales y Viterbo para promover el beneficio de exención predial en predios de OEC priorizados.  una propuesta para el programa de monitoreo participativo en las OEC a partir del uso del aplicativo iNaturalist (armadillo, tigrillos, pumas y tairas.)
3.  OEC PRIVADAS: se cuenta con un total de 107 OEC privadas para el departamento de Caldas: 89 durante el año 2021 y 18 durante el periodo actual.
4.  OEC Publicas:  se obtuvo información de los municipios de Belalcázar (37), Manizales (71), Marquetalia (17), Riosucio (32), Salamina (4) y San José (3), para un total de 164 nuevas OEC reportadas durante este periodo y que sumadas a las 124 OEC del año 2021, da un total de 288 OEC públicas</t>
  </si>
  <si>
    <t>OEC: se avanzó en el proceso de apoyo y seguimiento en el registro y publicación en el Registro Único Nacional de Áreas Protegidas RUNAP de tres nuevas Reservas Naturales de la Sociedad Civil RNSC para el departamento: Nido del Cóndor (Villamaría), Nacimiento de Rio Manso (Samaná), Ecozentro Madre Kumbra (Manizales)
 se han realizado visitas e informes técnicos para cuatro (4) nuevas RNSC: Camposol - La Bretaña (Villamaría), El Santuario (Manizales), La Favorita (Manizales y Marulanda) y El Encanto (Salamina), las cuales se encuentran en el proceso de trámite de su registro ante PNNC. 
 Se encuentran radicadas otras tres nuevas RNSC: La Libertad (Manizales), Villa Diosa (Samaná) y Los Achiles Refugio de abejas nativas (La Dorada). Para un total de diez (10) nuevas RNSC gestionadas en el marco del proyecto.
 conservación del Bosque Seco Tropical BST y lineamientos: Corpocaldas en marco de sus funciones incorporó la Cartografía actualizada (escala 1:25.000) y la síntesis con lineamientos la gestión integral del Bosque Seco Tropical BST en Caldas elaborados con el Instituto de Investigación de Recursos Biológicos Alexander Von Humboldt. El área potencial de bosque seco Tropical en Caldas es de 581.34 km</t>
  </si>
  <si>
    <t>se avanzó en la identificación de las Otras Estrategias Complementarios de Conservación en Caldas así como en la construcción de una hoja de ruta para su gestión en Caldas, con un consolidado de 288 posibles OEC para el departamento. Se lograron identificar más de 360 predios públicos y privados con potencial de OEC en el departamento, se realizaron gestiones para el Registro de OEC como Reservas Naturales de la Sociedad Civil RNSC en 10 predios, se realizó la Caracterización Socioambiental de las OEC y de Red OEC, se apoyó la conformación de una red de los propietarios y predios interesados en ser reconocidos como OEC y se han adelantado reuniones con las administraciones municipales para promover el beneficio de exención predial en predios de OEC priorizados, se consolidaron inventarios de aves en formatos Darwin Core, se realizaron ejercicios de planificación predial participativa para su zonificación (conservación, uso intensivo e infraestructura, agrosistemas y amortiguación y manejo especial), se elaboró una propuesta para el programa de monitoreo participativo en las OEC a partir del uso del aplicativo iNaturalist el cual permite obtener información y registros desde la comunidad local y se realizó la instalación de camaras trampa en en las OEC en las que se han obtenido registros interesantes de especie de mamíferos, entre ellos armadillo, tigrillos, pumas y tairas, entre otros resultados. Asi mismo se ha fortalecido la RED OEC por medio de la realización de cinco (5) reuniones y talleres virtuales y presenciales acerca de socialización del Plan de trabajo del año 2023 en los que se han tratado temas como la ruta de fortalecimiento Red OEC, proceso de registro de RNSC, reservas naturales y corredores biológicos urbanos, Cómo Reportar Información Biológica de las OEC Usando iNaturalist, y se han realizado socializaciones de las especies encontradas en los predios OEC durante las jornadas de caracterización realizadas por el equipo de Más Biomas, se diseñó y produjo material de apropiación sobre OEC en Caldas. Se realizó evento en el Embalse Cameguadua del municipio de Chinchiná y se contó con la asistencia de 80 personas de diferentes organizaciones, representantes de entidades territoriales, empresas, academia, entre otros actores, comprometidos con la conservación del medio ambiente en el territorio, allí se reconoció y destacó el trabajo de 20 actores representantes de OECs públicas y privadas, se elaboró el documento de consolidación del proceso de fortalecimiento de la Red otras estrategias de conservación (OEC 2021-2023) en el que se presentan los resultados obtenidos en las fases desarrolladas. "</t>
  </si>
  <si>
    <t>Objetivo 11: Lograr que las ciudades y los asentamientos humanos sean inclusivos, seguros, resilientes y sostenibles</t>
  </si>
  <si>
    <t>Monitoreo y análisis de efectividad de las medidas implementadas para la gestión de la biodiversidad y sus servicios ecosistémicos, en áreas protegidas de acuerdo a priorización.</t>
  </si>
  <si>
    <t>Medidas implementadas y priorizadas con análisis de efectividad</t>
  </si>
  <si>
    <t>Mediante los Contrato 195 de 2019 y 111-2020, se realizaron actividades de monitoreo y análisis de efectividad de las medidas implementadas sobre aves y mamíferos en las reservas de Torre 4, Roblanco y El Diamante.</t>
  </si>
  <si>
    <t xml:space="preserve">En el año 2021 no se concretaron acciones para dar cumplimiento con la meta </t>
  </si>
  <si>
    <t>Convenio interadministrativo No. 523 de 2021, celebrado entre Corpocaldas y CARDER, cuyo objeto es aunar esfuerzos para apoyar la implementación de los Planes de Acción e Investigación y Monitoreo del SIRAP EC.
El proceso de análisis de efectividad del manejo de las áreas protegidas públicas, se llevó a cabo mediante acompañamiento y asesoría de Parques Nacionales y WWF, actividad que apuntó directamente el compromiso del Plan Nacional de Desarrollo 2018-2022; para el año el 2021 se avanzó con la línea base y para el primer semestre año 2022, se desarrolló el análisis de efectividad en las siguientes tres áreas protegidas: Distrito de Manejo integrado Charca Guarinocito, Distrito de Conservación de Suelos Guacas Rosario y Reserva Forestal Protectora Torre Cuatro.
A partir del análisis de efectividad en las áreas protegidas públicas, se definieron recomendaciones para su manejo, entre ellas, analizar la integridad ecológica a nivel de paisaje (lo que requiere mirar a las áreas protegidas como parte de un todo), integrar medidas de adaptación y mitigación a la variabilidad climática, y avanzar en la valoración socioeconómica de los beneficios que nos da la naturaleza.
También, establecer acuerdos con los habitantes de las áreas protegidas, gestionar recursos financieros para lograr que estos espacios sean planificados y manejados adecuadamente, incluir enfoque de género e intergeneracional en la planificación, y caracterizar los sistemas productivos sostenibles en las áreas protegidas, generando cadenas de valor que involucren distribución justa y equitativa en comunidades locales.</t>
  </si>
  <si>
    <t>se inició la evaluación del Análisis de Efectividad de manejo de las áreas protegidas públicas, en este sentido se han evaluado cinco (5) áreas protegidas entre las se tienen Reserva Forestal Protectora RFP Torre 4, Reserva Forestal de Tarcará, Reserva Forestal El Popal, Distrito de Manejo Integrado DMI Charca de Guarinocito y el Distrito de Conservación de Suelos DCS Guacas Rosario
 Instrumento de seguimiento a las acciones implementadas en el Proyecto Sostenibilidad Cuenca La Miel - SISOSMIEL</t>
  </si>
  <si>
    <t>Se realizaron actividades de monitoreo y análisis de efectividad de las medidas implementadas sobre aves y mamíferos en las reservas de Torre 4, Rioblanco y El Diamante, se realizaron 11 certificaciones para la Agencia Nacional de Tierras, consistentes en monitorear y definir las áreas productivas y sus zonas ambientales con el objeto de incluir proyectos productivos que ayuden a las familias al retorno en sus propiedades, por otra parte, por medio de convenio para apoyar la implementación de los Planes de Acción e Investigación y Monitoreo del SIRAP Eje Cafetero, en lo relacionado con el monitoreo comunitario de especies focales y de interés regional, así como los análisis regionales de presiones y amenazas, y su impacto a la conectividad del Sistema Regional, se tuvieron avances en la mediciones de representatividad y conectividad de las áreas protegidas, en la implementación del programa de monitoreo comunitario de tucanes y en la evaluación de efectividad de manejo de las Areas Naturales Protegidas. Durante el 2023 se inició la evaluación del Análisis de Efectividad de manejo de las áreas protegidas públicas, en este sentido se han evaluado 12 áreas protegidas entre las se tienen Reserva Forestal Protectora RFP Torre 4, Reserva Forestal de Tarcara, Reserva Forestal El Popal, Distrito de Manejo Integrado DMI Charca de Guarinocito, el Distrito de Conservación de Suelos DCS Guacas Rosario, las DCS El Gigante, DRMI Cerro Guadalupe, DRMI Cuchilla Buenavista, DRMI Laguna de San Diego, RF Rioblanco, RF Bosques de la Chec y RF El Diamante, se continuó el proceso de seguimiento a las acciones implementadas en el Proyecto Sostenibilidad Cuenca Miel y se implementó la herramienta SISOS Miel, para sistematizar y espacializar todas las acciones ejecutadas en el proyecto.</t>
  </si>
  <si>
    <t>Proyecto 2:  Uso y manejo de la biodiversidad y sus servicios ecosistémicos</t>
  </si>
  <si>
    <t>Especies focales y generadoras de conflictos, con acciones de control y manejo</t>
  </si>
  <si>
    <t>Conflictos ambientales allegados a la autoridad ambiental con acciones de manejo y control</t>
  </si>
  <si>
    <t xml:space="preserve">1). conflictos ocasionados por especies de flora:  se atendieron 1302 casos.  El principal conflicto corresponde a afectación de franjas protectoras de fuentes de agua y  la guadua. Esta afectación se produce principalmente en Anserma, Risaralda, Samaná y San José.
2). conflictos ocasionados por especies de fauna: se reduce el conflicto con zarigüeyas y aumentando el de los grandes felinos.  Se atendieron 225 conflictos generados por fauna silvestre </t>
  </si>
  <si>
    <t xml:space="preserve">100% de los Conflictos ambientales allegados a la autoridad ambiental con acciones de manejo y control, los cuales estan relacionados con: 
1.  retamo espinoso.  se ha identificado y realizado seguimiento sobre focos de esta especie invasora en el corregimiento de San Félix, municipio de Salamina.
2. Guadua y algunas otras especies nativas o introducidas plantadas muy cerca de infraestructura de habitación, servicios o viales, situaciones que demandan continuamente asesoría en torno al manejo de riesgo.
3.  Respecto a fauna - se atendieron 145 conflictos con relacion a las siguientes especies:  Zarigüeyas - Caracol - felinos, Serpientes, garzas, Zorros, Alacranes, Primates, Murciélagos </t>
  </si>
  <si>
    <t>1) Flora: 1978 PQR Atendidos en relacion a flora:  manejo de guaduales - especie ojo de poeta - retamo espinoso (Marulanda) - buchon de agua en la charca de guarinocito (percadores guardianes de la charca - limpieza de 3164 m2)- Tulipan Africano
2). fauna:  195 conflictos relacionados con la fauna, siendo los más críticos los generados por las zarigüeyas - garzas. 266 Charlas de sensibilizacion.  120 visitas a tiendas de mascotas y centros veterinarios. 9 Puestos de Control Ambiental donde se capacita a 1552 pasajeros - 440 vehiculos en trafico ilegal de fauna</t>
  </si>
  <si>
    <t>Buchon de agua - retamo espinoso - guaduales 
 134 conflictos relacionados con zarigueya - se realizan planes de ahuyentamiento - caracol gigante - garceros
 171 charlas y talleres dirigidos a la comunidad, empresas e instituciones para tratar la temática de conflictos con fauna silvestre, tráfico ilegal de fauna y conservación de especies silvestres
 Se retomaron los Puestos de Control Ambiental (PCA) desarrollando 7 en diferentes vías del departamento de alto tráfico, como Maltería, Letras, Salida a Neira, Km 41, la Felisa,La Pintada
 42 campañas educativas en todo el departamento
 visitas a mascotarios, tiendas de mascotas y centros veterinarios con el fin de realizar capacitaciones relacionadas con normatividad ambiental y control al tráfico ilegal de especies</t>
  </si>
  <si>
    <t>En Caldas son comunes la invasión de caracol gigante africano, el problema de garzas, la predación de ganado por grandes felinos y la dispersión de la rana toro entre otros, siendo estos los que demandan mayores esfuerzos institucionales para su atención. Los conflictos generados por fauna silvestre requieren de una atención oportuna, de lo contrario el animal considerado problema, es atacado y termina muriendo, por lo que son la prioridad de atención del Grupo de Gestión en Fauna Silvestre, normalmente cuando es recibido un PQR reportando un conflicto con fauna, la reacción es inmediata procediendo con el rescate del animal o evaluando la situación problema y dando recomendaciones prácticas para superarla. En los casos de atropellamiento, nuestros médicos veterinarios están disponibles las 24 horas, procediendo a estabilizar el animal accidentado y dándole la atención integral requerida.
Se consolidó un equipo de atención de emergencias con el cual se ha logrado mayor efectividad en la atención elevando la supervivencia de los animales en conflicto; durante el cuatrienio se han atendido 255 conflictos generados por zarigüeyas lo que representa el 52 por ciento de todos los conflictos atendidos, 49 conflictos con garzas, 36 por caracol gigante, 34 por serpientes, 33 por grandes felinos, los cuales generan pérdidas significativas a la comunidad, especialmente en el municipio de Marulanda, 30 por murciélagos, 20 por cacería, 10 por escorpiones, 10 por gallinazos, 8 por otros caracoles y 49 por otros animales como pájaros, gusanos y primates. En total son 534 casos atendidos los cuales representan el 100% de las solicitudes elevadas a Corpocaldas por los diferentes medios de comunicación o participación comunitaria.</t>
  </si>
  <si>
    <t xml:space="preserve">Iniciativas apoyadas para el uso sostenible de la biodiversidad y sus servicios ecosistémicos </t>
  </si>
  <si>
    <t>Iniciativas apoyadas para el uso sostenible de la biodiversidad y sus servicios ecosistémicos</t>
  </si>
  <si>
    <t xml:space="preserve">1). Contrato donacion isagen 
a) Acciones de Agroforestería y Silvicultura. siembra de 1.393 árboles de cacao y cítricos, para fomentar el establecimiento de sistemas agroforestales y silvopastoriles
b) 46 huertos caseros como alternativa a la reconversión y al fortalecimiento de los procesos productivos
c) Instalación de 5 nuevos centros de producción de bioabono como biofábrica, para incentivar a la producción limpia.
2). Manejo de abejas (apicultura y meliponicultura).  
a). colecta de individuos en Norcasia, Samaná, Pensilvania, La Dorada, Riosucio, Supía, Viterbo, Filadelfia, Aranzazu, La Merced, Salamina, Chinchiná, Palestina, Villamaría y Manizales
b) capacitacion a 52 meliponicultores
c) listado de 130 especies florales utilizadas por las abejas sin aguijón
3). Se logró firmar un contrato de prestación de servicios, con CRONOTOPIAS, cuyo alcance principal será el fortalecimiento de los clubes de Aves 
4). Convenio Gobernacion de Caldas.  Plan desarrollo turismo de Naturaleza municipio de Norcasia </t>
  </si>
  <si>
    <t>8. Iniciativas apoyadas para el uso sostenible de la biodiversidad y sus servicios ecosistémicos
1). Predios con estrategias de manejo sostenible de guaduales
2). Acciones de Agroforestería
3). Acciones de Silvicultura.  proyecto de ganadería sostenible en 4 predios del municipio de La Dorada
4)  Acciones de Agroecología:  con ISAGEN - 100 Huertos caseros en la cuenca La Miel
5). actividades de Aviturismo en Caldas: Se creó la Red “El Nido” en pro del fortalecimiento y desarrollo del aviturismo - I Encuentro Regional de Clubes de Avistamiento. - fortalecimiento de los 17 clubes de avistamiento de aves y realizar un Global Big Day - con La Asociación Hotelera y Turística de Colombia, Cotelco, capítulo Caldas para el apoyó la realización del IX Congreso de Aviturismo
6) Apoyo para la implementación de Biodigestores y bioabonos en el marco del contrato de donacion con ISAGEN 
7) actividades de Ecoturismo y turismo de naturaleza:  Proyecto de Turismo de Naturaleza del Cerro Viringo - Declaratoria del Geoparque Volcán Nevado del Ruiz</t>
  </si>
  <si>
    <r>
      <rPr>
        <sz val="8"/>
        <color theme="1"/>
        <rFont val="Arial"/>
      </rPr>
      <t>1. Predios con estrategias de manejo sostenible de guaduales.  Con aldea Global estrablecimiento nucleo productivo de guadua en palestina - 30 Ha
2-3. Acciones de Agroecología - Apoyo para la implementación de Biofábricas:  Con ISAGEN. Contrato de donacion.  84 huertas caseras - 10 biofabricas - mantenimiento a 23 biofabricas de vigencias anteriores.
4.  Manejo de abejas (apicultura y meliponicultura):  actualizacion del inventario de meliponicultura del departamento - en constitucion de la red de meliponicultores.  identificacion taxonomica de 25 muestras mas para complementar 50 a la fecha. (32 especies abeja tribu - 14 generos) - talleres y apoyo a desarrollo de meliponario en la dorada - participacion en la mesa departamental
5. Aviturismo en Caldas (apoyo congreso aviturismo, fortalecimiento clubes): 2 encuentro de los Clubes  de avistamiento de aves de Caldas, el cual se llevó a cabo en Villamaría, Participación en el 10° Congreso de Aviturismo de Colombia (Manizales)
6.  Ecoturismo y turismo de naturaleza:  Proyecto de Turismo de Naturaleza del Cerro Viringo - Geoparque volcan el ruiz 
7.  Alianza conexion Bosque: alianza territorial para el cuidado y restauracion ecologica de areas de interes ambiental promoviendo corredores de conectivida - conexion socioinstitucional y conexion educacional
8. apoyo a sistemas sostenibles de produccion - red de viveros vivocuenca - 107.6 Ha en reconversion a uso sostenible
9.  alternativas productivas sostenibles cuenca chinchina:  - segundo concurso cafe de conservacion - fortalecimiento 10 agronegocios - tres rutas dee turismo - 3 giras de reconocimiento de experiencias</t>
    </r>
  </si>
  <si>
    <t>1. Se formula el Plan de Manejo de guaduales del núcleo productivo de guadua de Palestina - 30 Ha
 2. acciones en agroecología: 3 biofabricas - 28 huertas caseras 
 3. Manejo de abejas (apicultura y meliponicultura
 4. Apoyo a actividades de Aviturismo en Caldas.
 5. Alianza Conexión Bosque: estrategia que busca favorecer la conexión entre empresas, colectivos ambientales, institucionalidad pública y las áreas prioritarias para restauración, propendiendo por esquemas de restauración sostenidos en el tiempo, funcionales al territorio y que favorezcan la conectividad biológica, la conservación de la biodiversidad y de sus servicios ecosistémicos.
 6. estrategia de implementación de sistemas silvopastoriles - paisajes sostenibles con vivocuenca</t>
  </si>
  <si>
    <t>1). Se ejecutó contrato donación ISAGEN con las siguientes actividades:
a) Acciones de Agroforestería y Silvicultura. siembra de 1.393 árboles de cacao y cítricos, para fomentar el establecimiento de sistemas agroforestales y silvopastoriles
b) 46 huertos caseros como alternativa a la reconversión y al fortalecimiento de los procesos productivos
c) Instalación de 5 nuevos centros de producción de bioabono como biofábrica, para incentivar a la producción limpia.
d) 17 km de aislamientos​, 10 biofábricas y 100 huertos​, 100 estufas ecoeficientes​, 20 saneamientos básicos y 2 abastos mejorados​, 30 talleres y 6 foros"	
2). Manejo de abejas (apicultura y meliponicultura):  
a). colecta de individuos en Norcasia, Samaná, Pensilvania, La Dorada, Riosucio, Supía, Viterbo, Filadelfia, Aranzazu, La Merced, Salamina, Chinchiná, Palestina, Villamaría y Manizales
b) capacitacion a 52 meliponicultores
c) listado de 130 especies florales utilizadas por las abejas sin aguijón
3). Convenio Gobernacion de Caldas.  Plan desarrollo turismo de Naturaleza municipio de Norcasia. 
4). Actividades de Aviturismo en Caldas: Se creó la Red “El Nido” en pro del fortalecimiento y desarrollo del aviturismo - I Encuentro Regional de Clubes de Avistamiento. - fortalecimiento de los 17 clubes de avistamiento de aves y realizar un Global Big Day - con La Asociación Hotelera y Turística de Colombia, Cotelco, capítulo Caldas para el apoyo a la realización del IX Congreso de Aviturismo.
5) Actividades de Ecoturismo y turismo de naturaleza:  Proyecto de Turismo de Naturaleza del Cerro Viringo - Declaratoria del Geoparque Volcán Nevado del Ruiz 
6) Se formuló el Plan de Manejo de guaduales del núcleo productivo de guadua de Palestina - 30 Ha 
7) Estrategia de implementación de sistemas silvopastoriles - paisajes sostenibles con vivocuenca.	
8)  5. Alianza Conexión Bosque: estrategia que busca favorecer la conexión entre empresas, colectivos ambientales, institucionalidad pública y las áreas prioritarias para restauración, propendiendo por esquemas de restauración sostenidos en el tiempo, funcionales al territorio y que favorezcan la conectividad biológica, la conservación de la biodiversidad y de sus servicios ecosistémicos.
9) 7) actividades de Ecoturismo y turismo de naturaleza:  Proyecto de Turismo de Naturaleza del Cerro Viringo
10) Declaratoria del Geoparque Volcán Nevado del Ruiz</t>
  </si>
  <si>
    <t xml:space="preserve">Iniciativas apoyadas para el uso sostenible de la biodiversidad y sus servicios ecosistémicos en territorios indígenas </t>
  </si>
  <si>
    <t>Iniciativas apoyadas para el uso sostenible de la biodiversidad y sus servicios ecosistémicos en territorios indígenas</t>
  </si>
  <si>
    <t xml:space="preserve">• convenio 274 de 2020 con ACICAL se definió fortalecer cuatro (4) grupos de producción agroalimentaria agroecológica en el resguardo indígena de Escopetera y Pirza, con lo cual se espera afianzar dinámicas de custodios de semillas, impulsar la producción agroecológica y favorecer intercambios de productos y semillas.
• se instalaron dos meliponarios uno en el resguardo de Cañamomo y Lomaprieta y el otro en La Montaña </t>
  </si>
  <si>
    <t xml:space="preserve">
1) Implementación de Biodigestores y bioabonos 
2) Manejo de abejas (apicultura y meliponicultura) 
3) acompañamiento a los programas de custodios y casas de semillas en territorios indígenas</t>
  </si>
  <si>
    <t>1.  Asociación de Artesanas Indígenas SINIFANA, se dirigió al acompañamiento y asesoría sobre parcelas de materias primas artesanales establecidas en San Lorenzo por la Asociación Artesanal Cisloa y en la parcialidad de La Trina
2.  fortalecimiento organizativo y formativo a la asociacion de recuperadores del resguardo indigena de cañamomo - CREAR CL
3.  Semillas nativas como iniciativa de conservacion y uso sostenible de la biodiversidad: 4 casas de semillas en la comunidad de cauroma
4. 5 Bioabonos resguardo indigena escopetera - pirza</t>
  </si>
  <si>
    <t>Apoyo y acompañamiento a los programas de custodios y casas de semillas en territorios indígenas ACICAL, se viene trabajado en la parcialidad indígena Cauromá en la implementación de 3 casas de semillas.</t>
  </si>
  <si>
    <t>En convenio con ACICAL se fortalecen cuatro 4 grupos de producción agroalimentaria agroecológica en el resguardo Escopetera y Pirza, lo que permite afianzar dinámicas de custodios de semillas, impulsar la producción agroecológica y favorecer intercambios de productos y semillas.
Se instalaron dos meliponarios 1 en el resguardo Cañamomo Lomaprieta y el otro en el resguardo La Montaña. 
implementación de Biodigestores y bio abonos, Manejo de abejas (apicultura y meliponicultura). 
Con la asociación de artesanas indígenas SINIFANA se hace acompañamiento y asesoría sobre parcelas de materias primas artesanales establecidas en el resguardo San Lorenzo por la asociación artesanal Cisloa y en la parcialidad de La Trina
Fortalecimiento organizativo y formativo a la asociación de recuperadores del resguardo Cañamomo Lomaprieta – CASA CREAR como negocios verdes</t>
  </si>
  <si>
    <t xml:space="preserve">Especies focales y generadoras de conflictos, con acciones de control y manejo  en territorios indígenas </t>
  </si>
  <si>
    <t>Conflictos ambientales generados por especies focales con acciones de manejo y control en territorios indígenas</t>
  </si>
  <si>
    <t>Se atendió un conflicto por la presencia de un pequeño felino (Puma yaguaroundy) en la finca la Esperanza en zona rural de Riosucio, igualmente se atendieron dos casos de presencia de caracol gigante en Bonafont y tres denuncias de tenencia ilegal de fauna silvestre. </t>
  </si>
  <si>
    <t>100% de los Conflictos ambientales generados por especies focales con acciones de manejo y control en territorio indígenas
se atendió un conflicto por pequeños felinos, presencia de Caracol Gigante Africano en diferentes lugares de los municipio de Riosucio, Supía, Belalcázar, Risaralda y Dorada</t>
  </si>
  <si>
    <t>En el resguardo Indígena escopetera Pirza se recolectaron 3500 gramos de caracol africano en sendero.
En el año en comunidades indígenas fueron atendidos conflictos por presencias de Osos, de grandes felinos y de cazadores.
Se adelantaron acciones de acompañamiento y atención a situaciones inherentes al manejo y entrega de fauna silvestre en áreas de los municipios de Supía y Riosucio, relacionadas con resguardos y comunidades indígenas</t>
  </si>
  <si>
    <t>En el Resguardo Indígena Escopetera y Pirza, se sigue trabajando de la mano de varias instituciones para el control y erradicación del Caracol africano.</t>
  </si>
  <si>
    <t xml:space="preserve">se atendieron los conflictos ambientales generados por especies focales con acciones de manejo y control en territorio indígenas por pequeños felinos, presencia de Caracol Gigante Africano en diferentes lugares de los municipios de Riosucio, Supía, Belalcázar, Risaralda.
Un conflicto por la presencia de un pequeño felino (Puma yaguaroundy) en la finca la Esperanza en zona rural del municipio de Riosucio.
Presencia de Caracol Gigante Africano en el resguardo Escopetera y Pirza donde se se recolectaron 3.500 gramos.  se sigue trabajando de la mano de varias instituciones como la Dirección de Salud de Riosucio para el control y erradicación del Caracol Gigante Africano.
También se atendieron en comunidades indígenas conflictos por presencias de Osos de anteojos; grandes felinos y cazadores. 
Se adelantaron acciones de acompañamiento, se prestó atención a situaciones de manejo y entrega de fauna silvestre en áreas de los municipios de Supía y Riosucio relacionadas con resguardos y comunidades indígenas. </t>
  </si>
  <si>
    <t>Herramientas económicas y no económicas que incentiven la conservación de la biodiversidad y los servicios ecosistémicos</t>
  </si>
  <si>
    <t>Hectáreas del departamento bajo esquemas de conservación</t>
  </si>
  <si>
    <t>En el marco de la actividad:  Implementación y seguimiento Ruta de Compensaciones Ambientales, se cuenta con el diseño de compensaciones ambientales a través del convenio entre CORPOCALDAS, Vivo Cuenca  la WCS.
Monitoreo a los bosques de  las hectáreas bajo el esquema de Banco2, correspondiente al convenio con la CHEC, el cual finalizó en abril de 2020, monitoreando 630 ha de  39 familias localizadas en los municipios de Manizales, Villamaría, Neira y Marulanda</t>
  </si>
  <si>
    <t xml:space="preserve">252 Hectáreas del departamento bajo esquemas de conservación
1)  142,5 Ha que continúan siendo compensadas por el convenio Proyecto Hidroeléctrico El Edén y la Corporación MASBOSQUES con el esquema Banco2 
2) PSA hidrológico de la cuenca del Río Chinchiná, se estableció como meta tener 110 hectáreas adicionales bajo incentivo económico en el marco del proyecto de Pago por Servicios Ambientales ejecutado desde el año anterior, estas hectáreas ya fueron </t>
  </si>
  <si>
    <t xml:space="preserve">1.  PSA:  Se han establecido en el departamento 605 Ha, correspondiente a: a) 143 Ha del corregimiento de Bolivia bajo el esquema Banco2,  b) 336 Ha bajo el esquema de PSA hidrológico de Vivo Cuenca en la Cuenca del Rio Chinchiná  c) 126 Ha con el esquema de PSA del Municipio de Marulanda.
2.  Acuerdos de Conservacion: acompañamiento exoneracion predial municipio de manizales 16 visitas
3.  Portafolio de Compensaciones ambientales para Caldas - convenio con Humbolt
4.  Actualizacion metas de carga contaminante para el quinquenio 2021 - 2025 - Para el calculo de la tasa retributiva. Adoptado mediante acuerdo consejo directivo 032 de 22 de diciembre de 2022 </t>
  </si>
  <si>
    <t>Con vivocuenca - Se verificaron las inversiones en 29 predios con 475,311 ha compensadas - PSA.
 Apoyo y acompañamiento en el pilotaje de implementación de exención predial por conservación en el municipio de Manizales y Acuerdos de 
 Conservación. Acuerdo Municipal 1108 de 2021 (Se conceden unos beneficios tributarios y otras disposiciones) - 36 predios.
 Estado de incentivo de exoneración predial por conservación en municipios: existe en 19 de los 27 municipios; no obstante, muchos llevan más de 10 años de creación de este incentivo; municipios como Villamaría (acuerdo 072 de 2023) y San José Caldas (acuerdo en borrador) en la creación y actualización del incentivo respectivamente. 
 Implementación y seguimiento Ruta de Compensaciones Ambientales: se avanza en la construccion del portafolio de áreas prioritarias para el manejo, uso, restauración y conservación de la biodiversidad en la jurisdicción de CORPOCALDAS con el instituto Alexander Von Humbolt.
 constitución de Banco de Hábitat cuenca alta del rio chinchina con vivocuenca</t>
  </si>
  <si>
    <t>En el marco de la actividad:  Implementación y seguimiento Ruta de Compensaciones Ambientales, se contó con el diseño de compensaciones ambientales a través del convenio entre CORPOCALDAS, Vivo Cuenca y WCS.
Se realizó el monitoreo a los bosques de  las hectáreas bajo el esquema de Banco2, correspondiente al convenio con CHEC, monitoreando 630 hectáreas de 39 familias de Manizales, Villamaría, Neira y Marulanda. 
Con el Proyecto Hidroeléctrico El Edén y la Corporación MASBOSQUES con el esquema Banco2 se compensaron 142.5 hectáreas.
Mediante el esquema de Pago por Servicios Ambientales hidrológico de la cuenca del Río Chinchiná se logró compensar 110 hectáreas 
Se establecieron en el departamento 605 Hectáreas, correspondiente a: a) 143 Ha del corregimiento de Bolivia bajo el esquema Banco2,  b) 336 Ha bajo el esquema de PSA hidrológico de Vivo Cuenca en la Cuenca del Rio Chinchiná  c) 126 Ha con el esquema de PSA del Municipio de Marulanda y se avanzó con 16 visitas para acuerdos de conservación.
Apoyo y acompañamiento en el pilotaje de implementación de exención predial por conservación en el municipio de Manizales y Acuerdos de 
 Conservación. Acuerdo Municipal 1108 de 2021 (Se conceden unos beneficios tributarios y otras disposiciones) - 36 predios.
 Estado de incentivo de exoneración predial por conservación en municipios: existe en 19 de los 27 municipios; no obstante, muchos llevan más de 10 años de creación de este incentivo; municipios como Villamaría (acuerdo 072 de 2023) y San José Caldas (acuerdo en borrador) en la creación y actualización del incentivo respectivamente. 
Implementación y seguimiento Ruta de Compensaciones Ambientales: se avanza en la construccion del portafolio de áreas prioritarias para el manejo, uso, restauración y conservación de la biodiversidad en la jurisdicción de CORPOCALDAS con el instituto Alexander Von Humbolt.
 constitución de Banco de Hábitat cuenca alta del rio chinchina con vivocuenca</t>
  </si>
  <si>
    <t>Apoyo y acompañamiento en la ejecución de iniciativas  que promuevan el uso sostenible de la biodiversidad y sus servicios ecosistémicos con las comunidades afrocolombianas de Caldas</t>
  </si>
  <si>
    <t>Iniciativas apoyadas para el uso sostenible de la biodiversidad y sus servicios ecosistémicos con las comunidades Afrocolombianas de Caldas</t>
  </si>
  <si>
    <t>1) se desarrolló el Conversatorio Biodiversidad: Una mirada desde las comunidades Afrodescendientes de Caldas, orientado y desarrollado desde la mesa Afroambiental
2). Contrato 262 de 2020, a través del cual se promueve la búsqueda de semilla y producción de 4 mil árboles nativos forestales para su establecimiento, áreas abastecedoras de las veredas Alsacia y Marapra del municipio de Anserma - 26 estufas ecoeficientes en comunidades NARP de los municipios de Victoria, Palestina y Anserma - acciones relacionadas con la restauración integral en microcuencas de importancia ambiental para comunidades NARP de los municipios de Anserma, Palestina, Victoria y Marmato</t>
  </si>
  <si>
    <t>1.  convenio Gobernacion - Funamar - Corpocaldas:  fomentar los conocimientos y tradiciones ancestrales en el municipio de La Dorada
2.  viveros para la propagación de especies nativas:  municipios de Anserma, Dorada y Manizales
3.  con la Fundación Funbida, se establecieron 26 estufas ecoeficientes y boques leñeros</t>
  </si>
  <si>
    <t xml:space="preserve">1.  Se están estableciendo 35 estufas ecoeficientes
2. Recuperación y creación de senderos ecológicos en las áreas de interés ambiental identificadas - sendero la trocha en el municipio de Marmato 
3.  establecimiento de viveros - anserma y la dorada
4.  emprendimientos ambientales:  dorada - palestina - manizales y supia </t>
  </si>
  <si>
    <t>Construcción de 32 Estufas ecoeficientes en comunidades afrocolombianas de Caldas.
 Recuperación y creación de senderos “La Trocha” Municipio de Marmato.</t>
  </si>
  <si>
    <t>"Se alcanzaron las siguientes ocho (8) iniciativas denominadas:  
1. Conversatorio Biodiversidad: Una mirada desde las comunidades Afrodescendientes de Caldas
2.  Jornadas de siembras;
3. Rescate de saberes ambientales propios de la identidad cultural de las comunidades NARP de Caldas con la Fundación FUNAMAR; 
4. Restauración integral de microcuencas que tengan dependencia la comunidad afrocolombiana de Caldas;  
5. Establecimiento de viveros para la propagación de especies nativas; 
6. Construcción de estufas coeficientes en comunidades afrocolombianas de Caldas; 
7. Recuperación y creación de sendero ecológico en áreas de interés ambiental identificadas en territorios de las comunidades afrocolombianas de Caldas
8. Fortalecimiento a emprendimientos ambientales caracterizados y certificados de las comunidades Negras, Afrocolombianas, Raizales y Palenqueras de Caldas. 
Las comunidades  Negras, Afrocolombianas, Raizales y Palenqueras de Caldas beneficiadas con estas iniciativas, se encuentran ubicadas en los municipios de Anserma, Supía, Marmato, Manizales, Palestina, Victoria y La Dorada.</t>
  </si>
  <si>
    <t>Linea Estratégica  Sectores económicos ambientalmente sostenibles</t>
  </si>
  <si>
    <t>PROGRAMA FORTALECIMIENTO DEL DESEMPEÑO AMBIENTAL DE LOS SECTORES PRODUCTIVOS</t>
  </si>
  <si>
    <t>Objetivo 12: Garantizar modalidades de consumo y producción sostenibles</t>
  </si>
  <si>
    <t>SUBPROGRAMA II SECTORES AMBIENTALMENTE SOSTENIBLES</t>
  </si>
  <si>
    <t>Proyecto 3:  Estrategias  para corresponsabilidad  ambiental sectorial</t>
  </si>
  <si>
    <t>Acuerdos sectoriales activos y operando</t>
  </si>
  <si>
    <t xml:space="preserve">Nuevos acuerdos suscritos:  
a). Minero Ambiental
b).Constitución de las Mesas Interinstitucionales de aguacate en los Municipios de: Neira, Aranzazu, Salamina, Pacora, Aguadas, Anserma, Riosucio , Villamaría y Manzanares .  Constitución De la Mesa departamental de Aguacate </t>
  </si>
  <si>
    <t>4. Acuerdos sectoriales activos y operando
1). Acuerdo con sector Minero de Caldas:  Convenio con la gobernacion de Caldas - acompañamiento de la alcaldia municipal de Marmato
2) Acuerdo con el sector Industrial de Caldas:  estructuración de una estrategia para el sector industrial de la Quebrada Manizales en el marco de Caldas carbono Neutro 2050
3) Agenda Aguateros de Caldas:  Fortalecimiento del relacionamiento institucional municipal y departamental en torno a la producción sostenible de aguacate en Caldas
4) Agenda Ganadera en Caldas</t>
  </si>
  <si>
    <t>1.  Agenda minera - marmato:  Avance en el desarrollo de las 5 lineas estrategicas propuestas en la agenda:1:  Establecimiento de una línea base ambiental de la actividad minera, 2:  Definición de instrumentos y herramientas para mejorar la planificación ambiental e impulsar la sostenibilidad ambiental de la actividad minera, 3: Estructuración de Planes y Proyectos para promover la implementación de mejores prácticas ambientales en la actividad minera de Marmato 4: Promoción de acciones de educación ambiental y participación comunitaria, 5:  Fortalecimiento de la gobernanza y gobernabilidad en la actividad minera
2.  agenda aguacatera: Diseño y estructuración de la ruta de respuesta ambiental: Concepto técnico ambiental para el cultivo de exportación o a gran escala, Resolución de procesos sancionatorios ambientales y seguimiento a los requerimientos y medidas de compensación, Acompañamiento en la gestión de trámites y permisos ambientales, Análisis de las determinantes ambientales para las unidades productivas, Gestión de la Mesa institucional para la Organización de Cadena Productiva de aguacate Hass con Ministerio de Agricultura, ICA, Corpocaldas y Gobernación de Caldas.
3.  Agenda ganadera:  Firma del acuerdo ganadero entre Corpocaldas, la Gobernación de Caldas, alcaldías de Manizales y Villamaría, Chec Grupo EPM, Aguas de Manizales, EMAS, Ministerio de Agricultura, Instituto Colombiano Agropecuario ICA, Comité de Ganaderos de Caldas, Agrosavia, Celema, Vivo Cuenca, Policía Nacional, Ejército de Colombia, COPROSAN y el Sena Regional Caldas y 36 ganaderos. 
Base de datos georreferenciada con los predios que hacen parte de la Agenda sectorial Ganadera
Programa de recolección de residuos sólidos sector ganadero:  jornadas de recolección de residuos agroquímicos y veterinariosen los sectores de El Desquite, Letras, Sabinas, El Ocho, Laguna Negra, Maltería,500 kilos de residuos.
Actualmente los predios ganaderos Santuario, La Selva y La Favorita hacen parte de Otras Estrategias de Conservación y se encuentran en proceso de registro como Reserva Natural de la Sociedad Civil.
vivero de alta montaña 
Se formuló el proyecto de ganadería sostenible de alta montaña
más de 60 hectáreas en corredores de biodiversidad que sirven para conectar bosques y cercas vivas
4.  Agenda Industriales:  En un trabajo articulado entre Corpocaldas y ANDI en el marco de la Agenda Industrial se logró implementar acciones articuladas con: EMAS, Alcaldía de Manizales, Vivo Cuenca, Aguas de Manizales, Industria Licorera de Caldas, Plastigoma, Comestibles Mapy, Normandy, Progel, Etex, Induma, Descafecol, Madeco, Bellota, Super de alimentos, Riduco, Madeal, Empresa Comestibles Frugy, Industria Goma, Mabe, Invermec, Stepan, Ternium, Conacero, Celema, Productos Químicos Andinos, TOPTEC, Plásticos Truher, Formapol SA y Conelec SA. 
5. Acuerdo con el sector de construcción en Caldas</t>
  </si>
  <si>
    <t>1. Acuerdo con el sector Minero de Caldas.
 2. Agenda Sectorial Ambiental de Aguacate: Se diseñó la ruta para implementar el CAVA (Certificado Ambiental Voluntario Agroambiental)
 3. Agenda Ganadera: con la emergencia del Volcán Nevado del Ruiz, se realizaron acercamientos entre productores y entidades de gestión de riesgo para establecer protocolos de cuidado animal y evacuación de los animales ante una posible erupción volcánica. se desarrollan acciones en el marco de la sentencia de paramos - estructuracion de un proyecto de ganadería sostenible presentado ante la Agencia de Desarrollo Rural en el mes de mayo. para la implementacion de lineamientos en ganaderia sostenible. Agenda Ganadera del Magdalena Caldense se han realizado capacitaciones a productores ganaderos en el municipio de Norcasia, enfocadas en gestión de residuos sólidos y gestión de riesgo de incendios forestales.
 4. Agenda Industriales: creación del vivero del sector industrial y las jornadas de siembras en áreas de interés ambiental. giras realizadas con las diferentes empresas.
 5. Agenda de la Construcción: convenio 018 de 2023 con Camacol Valle para aunar esfuerzos técnicos, administrativos y financieros con Corpocaldas para la ejecución de acciones para el fortalecimiento de la agenda para la construcción sostenible en Caldas y el adecuado manejo de RCD. capacitación en Estructuración de proyectos sostenibles a empresarios constructores y funcionarios públicos con un promedio de asistencia de 60 y 35 personas respectivamente, en los talleres realizados se están consolidando los insumos y realizando alianzas estratégicas para la actualización de la agenda de construcción sostenible y su articulación con el clúster de la construcción</t>
  </si>
  <si>
    <r>
      <t xml:space="preserve">Durante el periodo 2020-2023, se ha trabajado en agendas ambientales de 8 sectores: Avícola, porcícola, aguacatero, industrial, ganadero, construcción, minero y ecoturismo. 
</t>
    </r>
    <r>
      <rPr>
        <b/>
        <i/>
        <sz val="8"/>
        <rFont val="Arial"/>
      </rPr>
      <t xml:space="preserve">1. En la agenda ganadera: </t>
    </r>
    <r>
      <rPr>
        <i/>
        <sz val="8"/>
        <rFont val="Arial"/>
      </rPr>
      <t xml:space="preserve">
se firmó el acuerdo sectorial ganadero en un área piloto de 8.273 Ha, orientado a la conservación, protección y reconversión productiva en la cuenca alta y media del río Chinchiná con actores como Gobernación de Caldas, Alcaldía de Manizales, Alcaldía de Villamaría, CHEC Grupo EPM, Aguas de Manizales, EMAS, Ministerio de Agricultura, Instituto Colombiano Agropecuario ICA, Comité de Ganaderos de Caldas, AGROSAVIA, Celema, VivoCuenca, Policía Nacional, Ejército de Colombia, COPROSÁN, Sena Regional Caldas y otros actores del gremio ganadero. 
Se está adelantando la conformación de una red de apoyo para temas ambientales que afectan e inciden en el sector ganadero, a través de la participación en instancias como consejo de cuenca del río Chinchiná, mesa agroclimática, nodo regional de cambio climático eje cafetero entre otros. 
Se han llevado a cabo capacitaciones, certificaciones y 3 jornadas de recolección de residuos agroquímicos y veterinarios en la cuenca alta y media del río Chinchiná sectores: El Desquite, Laguna Negra, El Ocho, Sabinas, Maltería y Gallinazo, en colaboración con la Gobernación de Caldas, alcaldía de Manizales, alcaldía de Villamaría, VivoCuenca, Carabineros y Colecta. 
Se han vinculado predios ganaderos como Santuario, La Favorita, Hacienda el Bosque, Potro Rojo en procesos de conservación a través del proyecto OEC y a través de los procesos de registro de Reservas Naturales de la Sociedad Civil ante Parques Nacionales Naturales de Colombia. 
Se construyeron los viveros  Torre Cuatro y Torrecitas con apoyo del fondo para el agua VivoCuenca. 
Se formuló el proyecto de ganadería sostenible de alta montaña y en proceso se encuentra el fortalecimiento y apoyo del proyecto: Implementación de acciones de restauración y conservación de ecosistemas estratégicos “Acciones para la conservación y restauración con el sector ganadero del municipio de la Dorada. 
Se han generado estrategias de comunicación soportadas en TIC en un trabajo articulado con el equipo de comunicaciones de Corpocaldas y comunicaciones de entidades como VivoCuenca, Gobernación de Caldas, alcaldía de Villamaría, alcaldía de Manizales. Además, de la creación de vallas de identificación de las fincas y la creación de un espacio en la página de Corpocaldas dirigido a la agenda ganadera.  
Se realizó la medición de huella de carbono en los predios ganaderos Santuario, Tesorito, La amapola, Villa Lucy,  El Bosque, La Mula, Manantiales de Siberia, La Selva, la Favorita y Santa Rita. 
En conjunto con el Fondo del Agua VivoCuenca se ha avanzado en el establecimiento de sistemas silvopastoriles y herramientas de manejo del paisaje  como corredores de 2,5km en predios ganaderos. 
Se ha avanzado en el fortalecimiento de la agenda ganadera del Magdalena Caldense en la que han participado alcaldía de la Dorada, alcaldía de Norcasia, SENA, Celema, CIIAS, Comité de Ganaderos, Gobernación de Caldas, ICA y 15 ganaderos del municipio de La Dorada. 
Así mismo, se ha avanzado en acuerdos de uso sostenible y servicios ecosistémicos con el gremio ganadero que se encuentra en el complejo de páramos Los Nevados. Metas agenda ganadera: 1. Iniciativas apoyadas para el uso sostenible de la biodiversidad y sus servicios ecosistémicos. 2.Los sectores económicos y grupos de interés del departamento de Caldas incorporan la dimensión ambiental en sus instrumentos de planificación y gestión. 3. Redes de apoyo comunitario y sectorial para el desarrollo de acciones climáticas operando. 4.Iniciativas de investigación e innovación en buenas prácticas y producción más limpia, implementadas y documentadas por los sectores. 5.Acuerdos sectoriales activos y operando. 6. Sectores económicos que implementan programas de manejo de residuos sólidos, líquidos y gaseosos. 7. % de negocios verdes establecidos en el departamento de Caldas. 8. Monitoreos de las medidas implementadas para la gestión de la Biodiversidad y sus servicios ecosistémicos en estrategias complementarias de conservación, de acuerdo con priorización. 9. Acciones de conservación y manejo en la estructura ecológica y otras áreas complementarias del departamento. 10. Estrategias de comunicación para la apropiación del patrimonio natural implementadas. 11. Estrategias de comunicación ambiental soportadas en TIC. 12. Iniciativas de investigación e innovación sectorial. 13. El 6% de la superficie del departamento se encuentra como área protegida. 
2.  En la agenda ecoturística, se realizó una articulación con las Otras Estrategias de Conservación (OEC), identificando la visión ecoturística del departamento y promoviendo iniciativas que fortalezcan el turismo mediante zonificacion predial participativa y proyectos de infraestructura.
3. En las agendas avícola, porcícola y aguacatera, se ha fortalecido los acuerdos sectoriales mediante la creación de la Mesa Departamental del Aguacate y mesas municipales relacionadas. Estas acciones han contribuido al desarrollo sostenible de estos sectores, incluyendo la divulgación de conocimientos, la protección ambiental, la planificación territorial y la gestión ambiental.
4.  En la agenda industrial, hemos continuado nuestra colaboración con la Asociación Nacional de Empresarios de Colombia (ANDI) seccional Caldas, promoviendo giras de experiencias ambientales, reuniones con empresas y la ejecución de foros relacionados con el desarrollo sostenible, especificamente en el sector industrial localizado sobre la Quebrada Manizales. En los que hay una articulación y particpación activa de los actores: EMAS, Alcaldía de Manizales, Vivo Cuenca, Aguas de Manizales, Industria Licorera de Caldas, Plastigoma, Comestibles Mapy, Normandy, Progel, Etex, Induma, Descafecol, Madeco, Bellota, Super de alimentos, Riduco, Madeal, Empresa Comestibles Frugy, Industria Goma, Mabe, Invermec, Stepan, Ternium, Conacero, Celema, Productos Químicos Andinos, TOPTEC, Plásticos Truher, Formapol SA y Conelec SA, Industria Licorera de Caldas, entre otros. Se ha realizado un trabajo coordinado con ANDI, VivoCuenca y el equipo de biodiversidad de Corpocaldas para la realización del programa Conexión bosque en donde empresas como Progel, Celema, Induma, Normandi han realizado jornadas de siembra y apadrinamiento de áreas de reforestación en predios rurales del municipio de Manizales para un total de 1100 árboles sembrados en los predios Santuario, Torre Uno, Tesorito, El Guamo. Se realizó un trabajo articulado entre el grupo de educación ambiental Cidea liderado por la Universidad Manizales y Corpocaldas, para fortalecer y vincular la participación del sector industrial en todos los procesos de educación ambiental en el municipio de Manizales. Se ha brindado asesoría técnica y capacitaciones a las empresas del sector industrial en temas como: -Negocios Verdes, -Economía circular, -Determinantes ambientales -Gestión de residuos sólidos, -Cierres de ciclo de material, -Innovación, tecnología y nuevos modelos de negocio. Se llevó a cabo Jornada de Recolección de Residuos Post Consumo en el Sector Industrial. Fortaleciendo las declaratorias de áreas de conservación por partes de las agendas sectoriales se lleva a cabo un proceso de acercamiento y asesoramiento a la Industria Licorera de Caldas para declarar su área de reserva como Otra Medida Efectiva de Conservación (OMEC). Se llevó a cabo el IV foro de empresas comprometidas con el desarrollo social, económico, ambiental, cambio climático y alianzas productivas de la comuna Tesorito de Manizales. Articulación de la Red de Competitividad del departamento de Caldas, la agenda industrial y el Ministerio de Ambiente y Desarrollo Sostenible (MADS), en la estrategia mecanismos de obras por impuestos y anclas verdes y se ha avanzado en la creación de un vivero del sector industrial en la Institución Educativa Maltería.
En la agenda de la construcción, se ha trabajado en la socialización del manejo de Residuos de Construcción y Demolición (RCD) mediante sesiones de capacitación. Además, hemos consolidado insumos y establecido alianzas estratégicas para actualizar la agenda de construcción sostenible y su integración con el clúster de la construcción.  Se ha trabajado en la actualización de la agenda, incluyendo la formación y talleres para empresarios y funcionarios públicos sobre tendencias globales en construcción sostenible, como Ciudades Sostenibles, Materiales Verdes, Certificaciones Sostenibles, Financiación Verde, Economía Circular y Carbono Cero.
En la agenda minera, hemos dado cumplimiento a  Convenio  en colaboración con la Gobernación de Caldas, con un enfoque principal en integrar la variable ambiental en los procesos de explotación minera. Este enfoque busca internalizar las acciones necesarias para prevenir, mitigar, corregir y/o compensar los impactos ambientales derivados de la actividad minera, calculando en una estrategia de crecimiento verde. 
Este pacto sectorial se ha iniciado en el municipio de Marmato, Caldas, y comprende actividades organizadas en torno a 6 líneas estratégicas. Estas líneas estratégicas tienen como objetivo garantizar una explotación minera más sostenible y responsable desde el punto de vista ambiental, promoviendo prácticas que reduzcan los impactos negativos en el entorno natural y la comunidad local."			
			</t>
    </r>
  </si>
  <si>
    <r>
      <rPr>
        <sz val="8"/>
        <color rgb="FF000000"/>
        <rFont val="Arial"/>
      </rPr>
      <t>Alianzas para la producción sostenible generadas e implementadas</t>
    </r>
    <r>
      <rPr>
        <sz val="8"/>
        <color rgb="FFFF0000"/>
        <rFont val="Arial"/>
      </rPr>
      <t xml:space="preserve"> </t>
    </r>
  </si>
  <si>
    <t>Alianzas territoriales para la gestion ambiental y producción sostenible</t>
  </si>
  <si>
    <t xml:space="preserve">Alianza Isagen 
Fondo del Agua Departamental 
Programa de Sostenibilidad Ambiental del Paisaje Cultural Cafetero en Caldas (Fundacion ecologica cafetera - vivocuenca). se viene trabajando en  las actividades relacionadas con el proyecto Paisajes Sostenibles (PaSos), </t>
  </si>
  <si>
    <t xml:space="preserve">3 Alianzas territoriales para la gestión ambiental y producción sostenible
ISAGEN - VIVOCUENCA - FONDO DEPARTAMENTAL DEL AGUA </t>
  </si>
  <si>
    <t>1. ISAGEN 
2.  VIVOCUENCA 
3.  FONDO ORIENTE CALDAS</t>
  </si>
  <si>
    <t>1. Vivocuenca
 2. fondo del agua del oriente de caldas: Se obtuvo el respaldo de ocho alcaldes y se realizaron reuniones con diversos actores relevantes y de las empresas de servicios públicos. Se elaboró una justificación técnica y se revisaron los modelos legales, financieros y administrativos del fondo. Se estudia un modelo financiero y una estructura administrativa de forma colectiva con los posibles constituyentes del fondo. Así mismo mediante Acuerdo del Consejo Directivo N° 02 de 2023 de febrero 21, se autorizó la participación de la Corporación en la constitución de la Corporación Fondo de Agua Oriente de Caldas.</t>
  </si>
  <si>
    <r>
      <rPr>
        <b/>
        <i/>
        <sz val="8"/>
        <rFont val="Arial"/>
      </rPr>
      <t>Alianza con Grupo ISAGEN para Producción Sostenible:</t>
    </r>
    <r>
      <rPr>
        <i/>
        <sz val="8"/>
        <rFont val="Arial"/>
      </rPr>
      <t xml:space="preserve">
Suscripción del convenio 34/06604 con ISAGEN para la recuperación socioambiental de la cuenca del Río Guarinó.
Ejecución exitosa de proyectos de bioingeniería, reconversión productiva y saneamiento básico en varias zonas, incluyendo Manzanares, Fresno, Marulanda y la vía intermunicipal Marulanda-Manzanares.
Construcción de Sistemas de Tratamiento de Aguas Residuales Domésticas y Casetas Sanitarias en Manzanares (Caldas) y Herveo (Tolima) en colaboración con el Comité de Cafeteros de Caldas.
</t>
    </r>
    <r>
      <rPr>
        <b/>
        <i/>
        <sz val="8"/>
        <rFont val="Arial"/>
      </rPr>
      <t>Fondo de Agua:</t>
    </r>
    <r>
      <rPr>
        <i/>
        <sz val="8"/>
        <rFont val="Arial"/>
      </rPr>
      <t xml:space="preserve">
Avances significativos en la creación del Fondo de Agua del Oriente de Caldas.
Formalización de la constitución de la Corporación que operará el Fondo de Agua por parte de Corpocaldas
Diagnóstico de condiciones hídricas y consolidación de proyectos.
Elaboración de bases legales, financieras y administrativas, y negociación con posibles constituyentes para garantizar la sostenibilidad financiera.
</t>
    </r>
    <r>
      <rPr>
        <b/>
        <i/>
        <sz val="8"/>
        <rFont val="Arial"/>
      </rPr>
      <t>Programa de Sostenibilidad Ambiental del Paisaje Cultural Cafetero en Caldas:</t>
    </r>
    <r>
      <rPr>
        <i/>
        <sz val="8"/>
        <rFont val="Arial"/>
      </rPr>
      <t xml:space="preserve">
Colaboración con Vivocuenca en el proyecto Paisajes Sostenibles (PaSos).
Avance en el aprendizaje de grupos de observadores de aves con el apoyo de la Fundación Ecológica Cafetera y líderes locales.
Posibilidades de censos participativos con comunidades y nuevos grupos de observadores en la cuenca Río Claro.
Siembra de especies nativas y verificaciones de siembra faltantes para promover la participación de agricultores y socios en la siembra.</t>
    </r>
  </si>
  <si>
    <t>Empresas que implementan acciones de prevención, corrección, mitigación y compensación de acuerdo con la valoración de los costos ambientales</t>
  </si>
  <si>
    <t>Empresas que implementan acciones de acuerdo con la valoración de los costos ambientales</t>
  </si>
  <si>
    <t>Se formuló el proyecto cuyo objeto es la formulación de un modelo que permita a las empresas implementar acciones de valoración de los costos ambientales, se implementara en el 2022</t>
  </si>
  <si>
    <t xml:space="preserve">se desarrolló el proyecto de pasivos ambientales con el objetivo de realizar la formulación de un modelo que permita a las empresas implementar acciones de valoración de los costos ambientales, incorporándolos en la estructura contable y financiera de las empresas 2 empresas paneleras
Programa Piloto para la valoración económica de impactos ambientales en el sector productivo de la ciudad de Manizales:  Con el apoyo de la Cámara de Comercio de Manizales por Caldas, se adelantó un programa piloto para la Valoración Económica de Impactos Ambientales en el sector productivo de la ciudad de Manizales, cuyo objetivo fue realizar una identificación, caracterización, jerarquización y valoración económica de los principales impactos ambientales que se generan a partir de las actividades productivas de la organización, al igual que la valoración de los costos ambientales residuales después de las medidas de control y manejo ambiental, generados por 6 empresas incorporadas en programa piloto.  Las empresas seleccionadas para la implementación del programa piloto fueron: Industrias Básicas de Caldas (IBC), Productora de Gelatina (Gelco), Herramientas Agrícolas (Herragro) y Productos Químicos Andinos (PQA).	</t>
  </si>
  <si>
    <t>Se desarrolló el proyecto de pasivos ambientales como un modelo que permita a las empresas implementar acciones de valoración de los costos ambientales, incorporándolos en la estructura contable y financiera de las empresas.
Para la aplicacion del proyecto se seleccionaron dos (2) empresas Paneleras que cumplieran con los criterios de aplicación de métodos y que permitieran calcular costos ambientales, además de considerar el cumplimiento de los aspectos legales y de responsabilidad social empresarial. Se realizó esta selección mediante trabajo de campo, revisiones bibliográficas y consultas con actores externos de otros trapiches y empresas paneleras- 
A través del siguiente esquema se desarrollaron las actividades para la construcción del modelo:
a)	Identificación del proceso productivo de la empresa apoyado en un diagrama que permita observar con detalle cada etapa del proceso y los residuos que se generan
b)	Identificación de los residuos generados en cada etapa del proceso, con el propósito de ser tenidos en cuenta en la ficha de caracterización de la unidad productiva
c)	Caracterización de aspectos técnicos y productivos de las empresas seleccionadas con el objeto de levantar información clave sobre cantidades de materia prima, rendimientos, cantidad de residuos generados, usos y manejo, así como aspectos legales y normativos
d)	Realizar el cálculo de volumen y/o peso de los residuos generados.
e)	Se determinó que el residuo crítico es el bagazo de caña con volúmenes de alrededor de 400 kilogramos por tonelada de caña y además es insumo clave para el proceso de concentración de los jugos mediante la combustión vegetal en el horno panelero
f)	Con base en los datos de la caracterización y los cálculos de extracción en molino, se determinó la cantidad de bagazo generado por año, cantidad homologada frente al combustible requerido de no utilizar bagazo en la combustión del horno.
g)	Definición de cuentas y subcuentas de la estructura financiera y contable de las empresas. Desarrollado mediante comunicación constante en sesiones de trabajo virtuales y presenciales con los profesionales encargados de la contabilidad de las empresas y algunas consultas externas.
h)	Incorporación al sistema contable. Se realizó la propuesta de valorar el bagazo e ingresar al activo en cuenta inventario y cargarlo como costo de producción reduciendo en el patrimonio la utilidad del ejercicio.
Partiendo de los insumos generados en desarrollo de la ejecución del contrato se generó una guía básica para las empresas paneleras y otras afines con el fin que puedan implementar el método de identificación, cálculo, valoración e incorporación de los activos o pasivos ambientales generados por su actividad productiva.
Así mismo, La Corporación Autónoma Regional de Caldas Corpocaldas con el apoyo de la Cámara de Comercio de Manizales por Caldas, adelantó un programa piloto para la Valoración Económica de Impactos Ambientales en el sector productivo de la ciudad de Manizales, cuyo objetivo fue realizar una identificación, caracterización, jerarquización y valoración económica de los principales impactos ambientales que se generan a partir de las actividades productivas de la organización, al igual que la valoración de los costos ambientales residuales después de las medidas de control y manejo ambiental, generados por las empresas incorporadas en programa piloto.
Las empresas seleccionadas para la implementación del programa piloto fueron: Industrias Básicas de Caldas – IBC, Productora de Gelatina – Gelco, Herramientas Agrícolas – Herragro y Productos Químicos Andinos – PQA.
Se  lograron los siguientes objetivos:
	Mejorar el modelo de evaluación y jerarquización de impactos de las cuatro empresas seleccionadas.
	Incorporar en el modelo de evaluación los beneficios ambientales generados por la empresa. 
	Cuantificar los costos ambientales de las medidas de control y manejo de la empresa. 
	Estructurar el análisis de internalización de impactos incluyendo los costos de personal, operación y transacción por impacto. 
	Determinación del valor anual del Plan de Manejo Ambiental</t>
  </si>
  <si>
    <t>Acompañamiento y apoyo a los municipios en la actualización e implementación de los PGIRS</t>
  </si>
  <si>
    <t>Municipios acompañados en la actualización e implementación de los PGIRS</t>
  </si>
  <si>
    <t>1). Se realizó seguimiento y/o acompañamiento a los PGIRS de los 27 municipios en Caldas.
2). Se participó en el proceso de actualización de los PGIRS en los municipios La Merced, Pensilvania, Manzanares y Marquetalia
3). contrato interadministrativo con el municipio de Salamina, se desarrollarán acciones conjuntas con el fin de actualizar su PGIRS, lo cual incluye la caracterización de los residuos y por ende el mejoramiento del análisis de los residuos que puedan ser aprovechados en dicho municipio</t>
  </si>
  <si>
    <t>6 Municipios acompañados en la actualización e implementación de los PGIRS.
1).municipio de Salamina, se formuló y se actualizó el PGIRS del municipio
2) Supía y Corpocaldas, se firmó el contrato 135-2021, mediante el cual se apoyará la actualización del PGIRS
3) municipio de Belalcázar se ejecuta el contrato 181-2021, el cual se enfoca a sensibilizar a la población sobre la adecuada separación de residuos en la fuente
4) Proyecto SERVIORIENTE ampliación Relleno sanitario (Manzanares, Marquetalia y Pensilvania)</t>
  </si>
  <si>
    <t>1.  La Merced 
2.  Supia
3.  Belalcazar
4.  Norcasia
5.  Con RECICALDAS - La Dorada, Norcasia, Victoria, Samaná y el corregimiento de Montebonito - Marulanda
6.  la Dorada</t>
  </si>
  <si>
    <t>1. Municipio La Dorada: culmina convenio con la Empresa de Servicios Públicos para la Implementación de rutas selectivas del programa de aprovechamiento en la zona norte del municipio de La Dorada (barrios las Ferias, Victoria Real, Pitalito, Magdalena, Andes, Primavera, Alfonso López, Villa Esperanza) con la inclusión de los recicladores en este proceso.
 2. La Merced: con La Empresa Municipal de Agua y Aseo de la Merced - EMAAM, culmina la caracterización de los residuos sólidos domiciliarios del municipio e implementar el proyecto de aprovechamiento de residuos sólidos.
 3. Norcasia: Se caracterizaron los residuos sólidos ordinarios en el área urbana</t>
  </si>
  <si>
    <t>Se realizó seguimiento y/o acompañamiento a los PGIRS de los 27 municipios en Caldas, en los cuales se realizó énfasis en la aplicación de las normas en materia de residuos, la competencia del municipio y la importancia de fortalecer el desarrollo de los diferentes programas y especialmente el de aprovechamiento.
Mediante convenios se logró apoyar a los municipios de Salamina, Norcasia, Supia, Belálcazar, La Merced, Palestina y La Dorada,en la actualización del documento del PGIRS, el cual es la carta de navegación en la gestión de residuos sólidos.  RECICALDAS Y SERVIORIENTE:  ampliacion del relleno sanitario</t>
  </si>
  <si>
    <t>Incremento en el aprovechamiento de residuos sólidos en el departamento</t>
  </si>
  <si>
    <t>Municipios apoyados y/o asesorados en el tema del aprovechamiento de los residuos sólidos</t>
  </si>
  <si>
    <t xml:space="preserve">Con el seguimiento realizado a actividades industriales y de servicio (EDS) que generan RESPEL, se logra que los usuarios den un manejo adecuado a este tipo de residuos conforme a las normas ambientales.  
Se proyecta la construcción de los puntos de almacenamiento temporal de residuos de plaguicidas proyectados para Belálcazar y Anserma, 
</t>
  </si>
  <si>
    <t>1) Promover e incentivar el aprovechamiento de residuos orgánicos e inorgánicos (RCD - ECAS).  municipio de La - Merced y la empresa municipal de aguas y aseo estrategia en las instituciones educativas 
2) Seguimiento y monitoreo de residuos hospitalarios, aceites, luminarias (RAEES) - se realizaron visitas de seguimiento a 110 establecimientos generadores de RESPEL
3) Se apoyaron las campañas (IX y X) de recolección posconsumo en la ciudad de Manizales realizadas con el liderazgo de la ANDI y el grupo retorna,</t>
  </si>
  <si>
    <t>1. aprovechamiento de residuos orgánicos e inorgánicos (RCD - ECAS):  Villamaría, Chinchiná, Palestina y Neira
2.  adecuado manejo y disposición de residuos peligrosos:  XI jornada posconsumo liderada por la ANDI y en la que participaron el grupo RETORNA y municipios como Manizales, Belalcázar, Riosucio y Supíay en la que participaron el grupo RETORNA y municipios como Manizales, Belalcázar, Riosucio y Supía.
Las empresas seleccionadas para la implementación del programa piloto fueron: Industrias Básicas de Caldas (IBC), Productora de Gelatina (Gelco), Herramientas Agrícolas (Herragro) y Productos Químicos Andinos (PQA).
3.  Seguimiento y monitoreo de residuos hospitalarios, aceites, luminarias (RAEES): (106) estaciones de servicio. - (5) actividades industriales y comerciales. - (28) Hospitales y establecimientos de salud. - (31) clínicas veterinarias. - (17) aguacateras.</t>
  </si>
  <si>
    <t>1. En el primer semestre de 2023 finalizó el contrato: Apoyar la gestión Integral de Residuos de Aparatos Eléctricos y Electrónicos en la zona Centro Sur del departamento. Se recogieron un total de 125 toneladas de residuos aproximadamente. Se instalaron puntos ecológicos para la
 recolección de RAEE en los municipios de Villamaría, Chinchiná, Palestina y Neira.
 2. Se continua con el Programa Ecomanizaleño, mediante el cual se tienen instalados puntos limpios en cuatro (4) centros comerciales de Manizales
 3. Durante las caravanas ambientales en los diferentes municipios de Caldas, se han recolectado residuos peligrosos - RAEE así: Aguadas (107,6 kg), Riosucio (176 Kg), Supía (74,7 Kg).
 4. seguimiento a 51 actividades generadores de residuos peligrosos - RESPEL (actividades industriales, comerciales, hospitales, Clínicas) en los municipios de Manizales, Marquetalia, Manzanares, Belalcázar, San José.</t>
  </si>
  <si>
    <t>Se logró apoyar proyectos de aprovechamiento de residuos sólidos mediante convenios con los municipios de Risaralda, Marquetalia, La Merced, La Dorada,  Palestina, Chinchiná, Neira y Villamaría.
- En el primer semestre de 2023 finalizó el contrato: Apoyar la gestión Integral de Residuos de Aparatos Eléctricos y Electrónicos en la zona Centro Sur del departamento. Se recogieron un total de 125 toneladas de residuos aproximadamente. Se instalaron puntos ecológicos para la
 recolección de RAEE en los municipios de Villamaría, Chinchiná, Palestina y Neira
- Se realizó el diagnóstico de objetivos y metas al PGIRS municipal, en cada municipio y se socializó con los equipos coordinadores del Plan en cada municipio. 
- Durante las caravanas ambientales en los diferentes municipios de Caldas, se han recolectado residuos peligrosos - RAEE así: Aguadas (107,6 kg), Riosucio (176 Kg), Supía (74,7 Kg).
- Seguimiento y monitoreo de residuos hospitalarios, aceites, luminarias (RAEES): (106) estaciones de servicio. - (5) actividades industriales y comerciales. - (28) Hospitales y establecimientos de salud. - (31) clínicas veterinarias. - (17) aguacateras.
- Seguimiento y monitoreo de residuos hospitalarios, aceites, luminarias (RAEES) y Se realizaron seguimientos a generadores de residuos peligrosos – RESPEL
- Se continua con el Programa Ecomanizaleño, mediante el cual se tienen instalados puntos limpios en cuatro (4) centros comerciales de Manizales</t>
  </si>
  <si>
    <t>Apoyo y acompañamiento en la implementación de iniciativas de manejo de residuos sólidos en territorios indígenas.</t>
  </si>
  <si>
    <t>Iniciativas de aprovechamiento de residuos sólidos apoyadas y acompañadas en territorios indígenas</t>
  </si>
  <si>
    <t xml:space="preserve">1). resguardo Cañamomo Lomaprieta - recuperadores CREAR:  6 jornadas de recolección de residuos ordinarios y 6 de residuos aprovechable (44 toneladas - relleno sanitario La Esmeralda en Manizales) (10 toneladas de residuos aprovechables)
300 visitas de sobre el manejo de residuos; 12 puntos ecológicos para la separación de residuos l(Sipirra, Quiebralomo, Planadas, Santa Ana, Bajo Sevilla, Guamal, Cañamomo, La Iberia, Panesso, San Pablo, Portachuelo y en La Mandrágora)
</t>
  </si>
  <si>
    <t>Se concretó el apoyo al proceso de certificación de producto y productor mediante el convenio 211-2021 entre Corpocaldas y el Resguardo Indígena San Lorenzo, con relación al proceso de manejo de residuos sólidos orgánicos realizado en la planta PASMI.</t>
  </si>
  <si>
    <t xml:space="preserve">Apoyo en la elaboración de un proyecto para el manejo de residuos sólidos dentro de la parcialidad indígena de La Soledad (CPT) - proceso educativo y unidades autonomas de compostaje
En el resguardo Indígena escopetera y Pirza se avanza en ruta de la instalación y puesta en funcionamiento de 5 unidades de bioabono, ligadas a centros educativos y puntos de producción de material vegetal, favoreciendo en todo sentido el ejercicio pedagógico frente al manejo de los residuos sólidos </t>
  </si>
  <si>
    <t>se apoya a iniciativa de manejo de residuos sólidos y limpieza ambiental en el RICL a través del fortalecimiento organizativo y formativo de la Asociación de Recuperadores CREAR y CASACREAR, involucrando jornadas de recolección de residuos sólidos - RESGUARDO CAÑAMOMO</t>
  </si>
  <si>
    <t xml:space="preserve">Se concretó el apoyo al proceso de certificación de producto y productor mediante convenio con el Resguardo Indígena San Lorenzo, con relación al proceso de manejo de residuos sólidos orgánicos realizado en la planta de la comunidad Pasmi. 
Apoyo en la elaboración de un proyecto para el manejo de residuos sólidos dentro de la parcialidad indígena de La Soledad (CPT), proceso educativo y unidades autónomas de compostaje; 
en el resguardo Escopetera y Pirza se avanza en ruta de la instalación y puesta en funcionamiento de 5 unidades de bio abonos, ligadas a sedes educativos y puntos de producción de material vegetal, favoreciendo en todo sentido el ejercicio pedagógico frente al manejo de los residuos sólidos. 
Con el programa de Patrimonio Natural del Resguardo Colonial Cañamomo Lomaprieta y sus respectivas comunidades, se han logrado retirar de las comunidades del resguardo más de 130 toneladas de residuos sólidos de los cuales se han podido aprovechar 44 toneladas. Se apoya la iniciativa de manejo de residuos sólidos y limpieza ambiental en el resguardo Cañamomo Lomaprieta a través del fortalecimiento organizativo y formativo de la asociación de recuperadores CASA CREAR, involucrando jornadas de recolección de residuos sólidos, actividades de educación ambiental y aprovechamiento de los residuos sólidos.  Se realizaron 300 visitas sobre el manejo de residuos; 12 puntos ecológicos para la separación de residuos en las comunidades Sipirra, Quiebralomo, Planadas, Santa Ana, Bajo Sevilla, Guamal, Cañamomo, La Iberia, Panesso, San Pablo, Portachuelo y La Mandrágora. </t>
  </si>
  <si>
    <t>Sectores económicos implementan estrategias generadas para el aprovechamiento, tratamiento o manejo y disposición final de residuos</t>
  </si>
  <si>
    <t>Sectores económicos que implementan estrategias para el aprovechamiento, tratamiento o manejo y disposición final de residuos</t>
  </si>
  <si>
    <t>1). jornada de recolección de residuos posconsumo en la ciudad de Manizales en el mes de noviembre, actividad liderada por la ANDI y apoyada por Corpocaldas:  recolección de residuos de Pilas usadas: 108,3 Kg, luminarias 493,4 kg, RAEE 1319,0 kg, electrodomésticos 137,6 kg, baterías plomo-ácido 96,5, otros RAEE 58 kg, llantas 375 kg, aprovechables 146,4 kg, para un total de residuos de 2734 kg.
2). convenio 277-2020, Corpocaldas - Empresa de Servicios Públicos del Oriente de Caldas S.A E.S.P para, “Aunar esfuerzos entre Corpocaldas y Servioriente para el desarrollo de acciones conducentes al adecuado manejo, separación, disposición, aprovechamiento y transformación de los residuos orgánicos generados en los municipios de Manzanares, Pensilvania y Marquetalia en el departamento de Caldas.</t>
  </si>
  <si>
    <t xml:space="preserve">Con el apoyo de la alcaldía de Manizales, los centros comerciales de Manizales y Corpocaldas, se continúa con el programa Soy Ecomanizaleño, estrategia que busca orientar y lograr que los ciudadanos den una disposición adecuada a los residuos posconsumo generados en sus hogares, se continuara con el proceso </t>
  </si>
  <si>
    <t>Mediante el convenio con la Alcaldía de Marquetalia, Servioriente y Corpocaldas se inicia la implementación y puesta en marcha de una planta de tratamiento de residuos orgánicos para el municipio.</t>
  </si>
  <si>
    <t>Actualmente se desarrolla el contrato entre la Alcaldía de Marquetalia, Servioriente y Corpocaldas para la implementación y puesta en marcha de una planta de tratamiento de residuos orgánicos</t>
  </si>
  <si>
    <t xml:space="preserve">Se logró apoyar la construcción de dos puntos limpios para la recolección de residuos peligrosos (residuos de agroquímicos), en el área rural de los municipios de Belálcazar y Anserma. 
En Manizales se realizó jornada de recolección de residuos preconsumo, actividad liderada por la ANDI y Corpocaldas, con un total de residuos de 2734Kg. 
Se desarrolló el convenio con la  Empresa de Servicios Públicos del Oriente de Caldas S.A E.S.P para, “Aunar esfuerzos entre Corpocaldas y Servioriente para el desarrollo de acciones conducentes al adecuado manejo, separación, disposición, aprovechamiento y transformación de los residuos orgánicos generados en los municipios de Manzanares, Pensilvania y Marquetalia en el departamento de Caldas"".
Con el apoyo de la alcaldía de Manizales, los centros comerciales de Manizales y Corpocaldas, se desarrolló el programa Soy Ecomanizaleño, estrategia que busca orientar y lograr que los ciudadanos den una disposición adecuada a los residuos posconsumo generados en sus hogares. 
Mediante el convenio con la Alcaldía de Marquetalia, Servioriente y Corpocaldas se inicia la implementación y puesta en marcha de una planta de tratamiento de residuos orgánicos para el municipio"		</t>
  </si>
  <si>
    <t xml:space="preserve">Proyecto 4:  Negocios verdes como estratégia de desarrollo </t>
  </si>
  <si>
    <t>Promoción de la estrategia nacional de negocios verdes establecidos en el departamento de Caldas.</t>
  </si>
  <si>
    <t>Nuevos negocios verdes establecidos en el departamento de Caldas</t>
  </si>
  <si>
    <t>11 Nuevos negocios verdes establecidos en el departamento de Caldas.
Café Pantágoras - ASIAR Asociación de Fiqueros Y Artesanos - Cooperativa Artesanal de Aguadas - Corporación Tejedoras Virgen de La Loma - Mundo Ambiental SAS - Granja Salomón SAS - Plastiq SAS - Soan Laboratorios S.A.S - Verdes Horizontes S.A.S - Industria Licorera de Caldas - Mano Verde S.S,A, BIC - Montecaña SAS - Cocina tradicional - Casa Crear - Ingruma Travel</t>
  </si>
  <si>
    <t>Asistencia a productores en la ruta de formalización de Negocios Verdes 
Se realizó visita de verificación a 11 negocios potenciales, 3 de ellos ubicados en comunidades indígenas.  Para un total de 54 NV certificados en Caldas</t>
  </si>
  <si>
    <t>se realizó visita de verificación a 10 negocios potenciales: Casa'o. - Granja Campohermoso- Artemus - Ecoloma d - Jcascadas - Café Pantágoras - Suny Leny Montes - Refugio Potosí (Batara Travel) - Colombianet solutions S.A.S - Beeco - Cannabis casa Girasoles</t>
  </si>
  <si>
    <t>El número de nuevos Negocios Verdes verificados y avalados cada año supera el resultado esperado. A través del personal integrado al programa mediante contratos  se ha logrado cubrir gran parte del departamento y llegar a las personas interesadas en pertenecer al programa año a año. Aquí también se resalta la vinculación del programa con otras entidades del departamento y del mismo ecosistema emprendedor y empresarial, ya que ha facilitado la difusión y el conocimiento del mismo.
Así mismo  se expidió  la resolución No 2021-0735 de 12 de mayo, que formaliza la ventanilla de Negocios Verdes en Corpocaldas.
Adicionalmente, desde la Oficina de Negocios verdes, se logró el acompañamiento del canal de televisión TV Agro, para realizar programas con 7 negocios verdes de Caldas.</t>
  </si>
  <si>
    <t>Fortalecimiento de los negocios verdes verificados en el departamento de Caldas</t>
  </si>
  <si>
    <t>Negocios verdes verificados cumpliendo requisitos y fortalecidos</t>
  </si>
  <si>
    <t>fortalecimiento de 54 Negocios Verdes se realizaron procesos de asesoría.  (ESTOS INCLUYEN LOS NUEVOS 19)</t>
  </si>
  <si>
    <t>80% Negocios verdes verificados cumpliendo requisitos y fortalecidos.
- expedición de la resolución que formaliza la ventanilla de Negocios Verdes en Corpocaldas, resolución No 2021-0735 de 12 de mayo
- acompañamiento del canal de televisión TV Agro, para realizar programas con 7 de nuestros N.V de Caldas
- ajuste al Plan de Acción Departamental de los Negocios Verdes, logrando que se incorporara al Sistema Almera de la Corporación y así mismo se tuvieron reuniones con varias instituciones del sector entre ellas: La Gobernación de Caldas, El Sena, Cemprende, SOCIA y La Universidades Autónoma y Católica de Manizales
- Participacion en BIOEXPO - Entre 400 emprendedores de todo el país se selecciona 5 NV para representar la MARCA PAÍS y llevar en alto el nombre de Colombia bajo el sello de Negocios Verdes. La regional Caldas es seleccionada como uno de ellos con el producto CHOCOLATES DE ABUELA</t>
  </si>
  <si>
    <t>1). Seguimiento a los Planes de Mejora Negocios Verdes verificados años 2019-2021
2) Desarrollo de modelo de negocio de comercialización de productos de Negocio Verdes de Caldas y asesoría en la constitución y operación comercial
3) participacion en Ferias de Negocios Verdes
4) Fortalecimiento de capacidades empresariales Negocios Verdes Caldas</t>
  </si>
  <si>
    <t>actualización y formalización del Nodo departamental de Negocios Verdes con la asistencia y participación del personal representante de la Oficina Nacional de Negocios Verdes del Ministerio de Ambiente y Desarrollo Sostenible y diversas entidades e instituciones de la región que tienen como misión posicionar los negocios verdes como un nuevo renglón de la economía regional, tales como: Gobernación de Caldas, Alcaldía de Manizales, Incubar, Innpulsa, Universidad Autónoma de Manizales, Vivocuenca, Universidad Católica de Manizales, Cámara de Comercio, entre otras.
 Fortalecimiento de la ventanilla de negocios verdes: Presentación Plan Nacional de Negocios Verdes y plan de trabajo articulación Autoridades Ambientales y ONVS - Participación en Mesa técnicas para ajustes en las fichas de verificación - Presentación Hoja de Ruta solicitud Sello/Marca negocios Verdes.
 Adelantar acciones para fortalecer la imagen corporativa del programa de Negocios Verdes en Caldas. - fundacion Nativa.
 Fortalecer y promocionar a los Negocios Verdes por medio de capacitaciones que contribuyan al mejoramiento de los procesos de empresarización
 Fortalecimiento de estrategias de comercialización de los negocios verdes: caravanas ambientales - Feria de economías campesinas, turísticas, artesanales y productivas “Conmemoración día del Campesino” - VIII Feria Internacional Ambiental FIMA - 
 Seguimiento a los Planes de Mejora Negocios Verdes verificados años 2019- 2022</t>
  </si>
  <si>
    <t xml:space="preserve">Se ejecutaron diversas actividades que a la fecha han permitido la consolidacion del programa Negocios Verdes a nivel departamental: 
-Actividades anuales de seguimiento al Plan de Mejora de cada uno de los empresarios adscritos al programa.   
- Fortalecimiento de capacidades empresariales, administrativas y publicitarias de los Negocios Verdes con la ONG Nativa.
- Visibilización de los Negocios Verdes en ferias nacionales (Bioexpo, Agroexpo y FIMA) .  
- Fortalecimiento de la imagen corporativa del programa de Negocios Verdes.                                                             
-Entrega de avales a los Negocios Verdes verificados y avalados.  
- Actualización, presentación y socialización del Plan Nacional de Negocios Verdes 2022-2030.       
- Curso/Taller Análisis y Desarrollo de Mercados , FAO.                                                                                                               - Desarrollo de la estrategia de posicionamiento, sensibilización y dinamización de la demanda sobre el consumo de los productos y servicios de los Negocios Verdes.
- Retroalimentación y dinamización del micrositio de Negocios Verdes de Caldas.                                                  
-Asistencia y participación a Caravanas Ambientales.                                                                                                                 -Actividades de diseño audiovisual y capacitación en la creación de catálogos digitales y toma de fotografías de productos.                                                                                                                  
 - Participación en eventos regionales y municipales en alizanza con la Gobernación, alcaldías, Universidades, Cámara de Comercio, Fenalco, Acopi, Andi, Red de Emprendimiento de Caldas."				</t>
  </si>
  <si>
    <t xml:space="preserve">Nuevos negocios verdes establecidos en territorios indígenas </t>
  </si>
  <si>
    <t>Nuevos negocios verdes establecidos en territorios indígenas</t>
  </si>
  <si>
    <t>1). 19 con cumplimiento de los criterios establecidos por la Oficina de Negocios Verdes, aunque para la vigencia se habían programado solo 5 nuevos negocios, de acuerdo a las categorías de Negocios Verdes
2). Se Establece el Plan Departamental de Negocios Verdes
3). Se Fortalece la ventanilla verde para impulsar y crear nuevos negocios verdes sostenibles</t>
  </si>
  <si>
    <t>3 Nuevos negocios verdes establecidos en territorio indígenas</t>
  </si>
  <si>
    <t xml:space="preserve">1) casacrear - cañamomo
2) cocina tradicional - comunidad de bonafon
3) ingruma travel </t>
  </si>
  <si>
    <t xml:space="preserve">Debido a los efectos causados por la pandemia COVID19, durante el año 2020 no fue posible realizar las actividades programadas desde el área de Negocios Verdes con los emprendedores o empresarios potenciales. Sin embargo, en los años 2021 y 2022 se logró incrementar la  presencia del programa en comunidades indígenas, facilitando no solo su conocimiento, sino también la integración de algunos de ellos como: Ingrumá experiencia y aventura, Cocina tradicional y Crear. Estos mas los negocios vinculados en vigencias anteriores como Asicafé Lomaprieta y Sinifaná han facilitado que varios emprendimientos o negocios ya establecidos deseen darse a conocer a través de las actividades realizadas desde el programa. También se ha logrado establecer un contrato con Sinifana buscando fortalecer capacidades de la Asociación para acompañar la dinámica de Negocios Verdes que involucren procesos artesanales en Territorios Indígenas: acompañamiento, asesoría y asistencia técnica socioempresarial y ambiental a los negocios verdes relacionados,  asistencia técnica agronómica en torno al manejo y aprovechamiento de las materias primas artesanales propias de la cestería indígena. </t>
  </si>
  <si>
    <t xml:space="preserve">Fortalecimiento de los negocios verdes verificados en territorios indígenas </t>
  </si>
  <si>
    <t>Negocios verdes verificados cumpliendo requisitos y fortalecidos en territorios indígenas</t>
  </si>
  <si>
    <t>En el marco de los recursos del contrato con Incubar, recursos 2019, durante la vigencia, se fortalecieron 5 negocios verdes relacionados con comunidades indígenas de Caldas. Los cuales corresponden a Artesanías Sinifana, Cisloa, Aprocafé Ingruma, Asociación de productores de miel (Asopiagro)</t>
  </si>
  <si>
    <t xml:space="preserve">Negocios verdes verificados cumpliendo requisitos y fortalecidos en territorios indígenas
con Asopiagro, que asocia a varios productores de miel, polen y demás derivados de la miel de todos los resguardos presentes en el municipio, se realizaron capacitaciones que se impartieron desde la Oficina de Negocios Verdes del MADS, al igual que las artesanías elaboradas con caña brava e Iraca de Cisloa (agrupa a los artesanos de San Lorenzo) Sinifana </t>
  </si>
  <si>
    <t xml:space="preserve">con Asopiagro, Asociación de Apicultores de Riosucio, que asocia a varios productores de miel, polen y demás derivados de todos los resguardos presentes en el municipio; Sinifaná (asociación que agrupa artesanos de varios Resguardos) y Cisloa (agrupa a los artesanos de San Lorenzo) se realizaron las mismas capacitaciones que se impartieron desde la Oficina de Negocios Verdes del MADS y desde la ventanilla de Negocios Verdes de la Corporación </t>
  </si>
  <si>
    <t xml:space="preserve">Actividades anuales de seguimiento al Plan de Mejora de cada uno de los empresarios adscritos al programa.                                                                                                                                                                                                                  
Acompañamiento del canal de televisión TV Agro, para la realización de programas con 7 Negocios Verdes de Caldas.                                                                                                                                                                                                
Conformación del Nodo departamental de Negocios Verdes, construcción y ajustes al Plan de Acción institucional de Negocios Verdes y Resolución No 2021-0735 de 12 de mayo de 2021 de la creación de la Ventanilla de Negocios Verdes.                                                                                                                                                                                                                                                                                                                                                                                                        
Fortalecimiento de capacidades empresariales, admiistrativas y publicitarias de los Negocios Verdes con la ONG Nativa.                                                                                                                                                                                              
Visibilización de los Negocios Verdes en ferias nacionales (Bioexpo, Agroexpo y FIMA) .                                                                                                                                                                                                                                                                            
Fortalecimiento de la imagen corporativa del programa de Negocios Verdes.                                                           
Entrega de avales a los Negocios Verdes verificados y avalados.                                                                                    
Actualización, preentación y socialización del Plan Nacional de Negocios Verdes 2022-2030.                
Curso/Taller Análisis y Desarrollo de Mercados , FAO.                                                                                                               
Desarrollo de la estrategia de posicionamiento, sensibilización y dinamización de la demanda sobre el consumo de los productos y servicios de los Negocios Verdes.      
Retroalimentación y dinamización del micrositio de Negocios Verdes de Caldas.                                                 
Asistencia y participación a Caravanas Ambientales.                                                                                                                
Actividades de diseño audiovisual y capacitación en la creación de catálogos digitales y toma de fotografías de productos.                                                                                                                                                                            
Participación en eventos regionales y municipales en alizanza con la Gobernación, alcaldías, Universidades, Cámara de Comercio, Fenalco, Acopi, Andi, Red de Emprendimiento de Caldas.			</t>
  </si>
  <si>
    <t>Proyecto 5:  Prácticas para mejorar el desempeño ambiental sectorial</t>
  </si>
  <si>
    <t xml:space="preserve">Acciones de prevención y control de niveles  de contaminación del aire en centros poblados </t>
  </si>
  <si>
    <t>Municipios con centros poblados con concentraciones promedio de PM10 inferiores a 30 μg/m3</t>
  </si>
  <si>
    <t>Se finalizó la campaña de monitoreo de PM10 en el municipio de Chinchiná, registrando valores entre 18 y 37 ug/m3, con un promedio de 27 ug/m3, valores que se encuentran por debajo de las normas diaria y anual para este contaminante.
Actualmente se continúa con el muestreo de PM10 en la estación del centro del municipio de La Dorada, cuyos resultados han indicado que la calidad del aire en este municipio es buena, con una concentración media registrada de 31 ug/m3.</t>
  </si>
  <si>
    <t>Se continua con el monitoreo de calidad del aire de forma constante en los municipios de Manizales y La Dorada</t>
  </si>
  <si>
    <t>Durante el primer semestre del año 2022, se continuó con el monitoreo de la contaminación del aire en Manizales, La Dorada y se realizó una campaña de muestreo de partículas respirables en el municipio de San José, cuyos datos infieren una calidad del aire buena en este municipio</t>
  </si>
  <si>
    <t>se continuó con el monitoreo de la contaminación del aire en Manizales, La Dorada y se realizaron campañas de muestreo de partículas respirables en los municipios de Palestina, Villamaría y Chinchiná, cuyos datos infieren una calidad del aire buena en los municipios monitoreados a nivel de partículas respirables PM10.
 se amplió la cobertura del SVCA, mediante la adquisición de un monitor de partículas respirables PM10-PM2.5, el cual se instaló en Chinchiná</t>
  </si>
  <si>
    <t>Durante el cuatrienio se registraron los niveles de contaminación de PM10 en los centros urbanos de Manizales, Palestina, San José, Belálcazar, Chinchiná, Villamaría, La Dorada y Risaralda. Los datos recolectados infieren una calidad de aire buena para los municipios monitoreados a nivel de partículas respirables, con concentraciones que cumplen con las normas de calidad del aire anual (50 ug/m3) y diaria (75 ug/m3) establecidas en la Resolución 2254 de 2017
Se amplió la cobertura del SVCA, mediante la adquisición de un monitor de partículas respirables PM10-PM2.5, el cual se instaló en Chinchiná.</t>
  </si>
  <si>
    <t>Operativos de control de fuentes móviles ejecutados</t>
  </si>
  <si>
    <t>Se realizaron 74 operativos, logrando verificar las emisiones de más de 2000 vehículos, la mayoría realizados en la ciudad de Manizales y en municipios de La Dorada, Aguadas, Salamina, Riosucio, Chinchiná, Palestina y Villamaría. Con un 5,7 % de reprobación</t>
  </si>
  <si>
    <t>Se realizaron 69 operativos, en los cuales se revisaron 1729 vehículos en los municipios de Manizales, Villamaría, Manzanares, Supía, Anserma, Salamina, Aguadas, Chinchiná y La Dorada, con una reprobación del 21%</t>
  </si>
  <si>
    <t>se realizaron controles de la contaminación por fuentes móviles en cuatro (4) municipios de Caldas (Manizales, Riosucio, Villamaría y Supía.
se revisaron un total de 1733 vehículos en circulación en 60 operativos realizados, principalmente en los municipios de Manizales y Villamaría.  
el 7% del parque automotor revisado no cumple con las normas de emisión para vehículo</t>
  </si>
  <si>
    <t>se realizaron controles a este tipo de fuentes de contaminación en ocho (8) municipios de Caldas (Manizales, Riosucio, Aguadas, Salamina, La Dorada, Villamaría, Supía, Chinchiná). Los resultados indicaron que en promedio el 6,7%. 39 operativos - 801 vehiculos.
 se realizó la actualización de los analizadores de gases vehiculares y el software, para darle continuidad al control y seguimiento de la contaminación por fuentes móviles</t>
  </si>
  <si>
    <t xml:space="preserve">A la fecha, se ha logrado cumplir con un 94% de la meta llegando a 225 de los 240 operativos de control de contaminación por fuentes móviles, los cuales se han realizado en Manizales, Chinchiná, Villamaría, Riosucio, Aguadas, Pácora, Riosucio, Supia; También se realizó la actualización de los analizadores de gases vehiculares y el software, para darle continuidad al control y seguimiento de la contaminación por fuentes móviles		</t>
  </si>
  <si>
    <t>Empresas con acciones de reconversión tecnológica y/o productiva implementadas</t>
  </si>
  <si>
    <t>1). Apoyo a pequeños caficultores para que implementen sistemas de tratamiento para aguas mieles convenio comité de cafeteros 
2). 4 Predios ganaderos en el municipio de la Dorada con acciones de reconversión productiva implementadas</t>
  </si>
  <si>
    <t>En el marco del desarrollo de las agendas sectoriales: (Aguacate - industrial - minero - ganadero), se esta consolidando la linea base de diagnostico de las empresas que cuentan con acciones de reconversion tecnologica, se continuara con el proceso en el 2022</t>
  </si>
  <si>
    <t>Apoyo a pequeños caficultores para que implementen sistemas de tratamiento para aguas mieles:  39 tanques tina, 40 sistemas primarios de tratamiento de aguas mieles, 40 filtros verdes y la elaboración, diseño e impresión de 195 cartillas didácticas en la construcción, funcionamiento y mantenimiento de los filtros verdes en pequeños predios cafeteros,</t>
  </si>
  <si>
    <t>Apoyo a pequeños caficultores para que implementen sistemas de tratamiento para aguas mieles: se benefició un total de 26 predios cafeteros en los cuales se implementaron 10 tanques tina, 23 sistemas primarios para tratamiento de aguas mieles de café con sus respectivos filtros verdes tipo invernadero</t>
  </si>
  <si>
    <t xml:space="preserve">Desde 2020 CORPOCALDAS suscribió un contrato con la Federación Nacional de Cafeteros de Colombia - Comité Departamental de Cafeteros de Caldas, el cual hasta el 2023 permitió la reconversión tecnológica en sistemas productivos de predios cafeteros con la implementación de 49 tanques tina, 63 sistemas de tratamiento primario de aguas mieles, 63 filtros verdes, y 20 incentivos económicos para la instalación de igual cantidad de módulos ECOMILL, además de la entrega de 195 cartillas orientadas a la construcción, funcionamiento y mantenimiento de filtros verdes, en predios ubicados en veredas de Llanitos, Bajo Castillo, La Batea, El Avión, Rio Claro, Miraflores San Julián y Montevideo del municipio de Villamaría; y en las veredas El Horro, Campoalegre, Villa Orozco, Chápata, Maraprá, La Loma, Agua Bonita, Patio Bonito, Chavarquia en el municipio de Anserma.				</t>
  </si>
  <si>
    <t>Instrumentos regionales que incentiven el desempeño ambiental sectorial diseñados e implementados</t>
  </si>
  <si>
    <t>Instrumentos regionales que incentivan el desempeño ambiental sectorial operando</t>
  </si>
  <si>
    <t>Se realizó la quinta convocatoria Corpocaldas reconoce la excelencia ambiental cen la cual de las 33 empresas inscritas, se premiaron 18 de ellas:  
• Almacenes La 14 
• Central Hidroeléctrica De Caldas S.A. E.S.P. - Chec S.A. E.S.P.
• Central Lechera De Manizales S.A. - Celema
• Concretos Argos S.A.S.
• E.S.E Hospital Departamental Universitario De Caldas Santa Sofía
• Empresa Metropolitana De Aseo S.A. E.S.P. - Emas S.A. E.S.P.
• Energía Integral Andina S.A.
• Etex Colombia S.A.
• Gelco - Productora De Gelatina S.A.S.
• Industrias Básicas De Caldas S.A.
• Isopor S.A.S.
• Nicole S.A.S.
• Pro - Oriente S.A.S.
• Productos Químicos Andinos S.A.S. - Pqa S.A.S.
• Servicios Especiales Salud - Hospital Universitario De Caldas
• Stepan Colombia S.A.S.
• Ternium Siderúrgica De Caldas S.A.S. - Ternium
• Veolia Servicios Industriales Colombia S.A.S. E.S.P.</t>
  </si>
  <si>
    <r>
      <rPr>
        <sz val="8"/>
        <color rgb="FF000000"/>
        <rFont val="Arial"/>
      </rPr>
      <t>Gobernanza Forestal - madera ilegal:  se atendieron 1094 solicitudes, además se llevaron a cabo 114 operativos, 14 talleres, una reunión de la Mesa Forestal de Caldas</t>
    </r>
  </si>
  <si>
    <t xml:space="preserve">Implementación de Gobernanza Forestal - Madera legal.  se ha hecho reconocimiento a la procedencia y uso legal de la madera y otros productos similares a 17 empresas de Caldas.
• 218 operativos de control fijo y móvil, 
• 2905 acciones de control ambiental, 
• 25 eventos de capacitación tipo taller, 
• 3 reuniones de la mesa forestal convocadas </t>
  </si>
  <si>
    <t>Implementación de Gobernanza Forestal - Madera legal: 
 27 operativos de control fijo y móvil.
 609 acciones de control ambiental.
 5 eventos de capacitación tipo taller, 
 Entrega de 10.810 plántulas para los programas de reforestación gestionados o coordinados por parte de la Corporación.
 Se lideró y se gestionó el reconocimiento a la legalidad</t>
  </si>
  <si>
    <t xml:space="preserve">"Corpocaldas ha implementado como  Instrumentos regionales que incentivan el desempeño ambiental sectorial , los siguientes: 
1.  Implementación de Gobernanza Forestal - Madera legal, en este se realizan actividades como: Aplicación de protocolos y procedimientos, Educación ambiental hacia la legalidad y Reconocimiento a la legalidad forestal, estos se han venido implementando sobre aquellas empresas de comercio y/o transformación que cumplen con requisitos obligatorios y opcionales que los califican en diferentes tipos de reconocimiento (Plata, Oro, Platino, Diamante), según el nivel de cumplimiento.   Adicionalmente con  el Grupo líder de gobernanza forestal se realizan actividades de seguimiento, monitoreo, y control del aprovechamiento, transporte, comercio y uso de productos de la flora en el departamento Caldas, bajo el contexto de la Consolidación de la Gobernanza Forestal en Colombia se realizaron las siguientes actividades: operativos de control fijo y móvil,  acciones de control ambiental, eventos de capacitación tipo taller, reuniones de la mesa forestal
2. Programa reconocimiento ambiental (CREAS)  - Se realizó la quinta convocatoria,  Corpocaldas reconoce la
excelencia ambiental, en la cual de las 33. empresas inscritas, se premiaron 18 de ellas	</t>
  </si>
  <si>
    <t>Empresas de la región con incentivos tributarios aplicados para la conservación o cambios hacia tecnologías limpias</t>
  </si>
  <si>
    <t>Empresas con incentivos tributarios aplicados para la conservación o cambios hacia tecnologías limpias</t>
  </si>
  <si>
    <t xml:space="preserve">En el marco del desarrollo de las agendas sectoriales: (Aguacate - industrial - minero - ganadero), se esta consolidando la linea base de diagnostico de las empresas que cuentan con acciones de reconversion tecnologica, para la debida aplicaciion de los incentivos tributarios </t>
  </si>
  <si>
    <t>certificación de inversiones en control y mejoramiento del medio ambiente de empresas: Progel, Stepan Colombiana, Celema y CHEC, con lo cual se espera la reducción en el tiempo de cargas contaminantes sobre los recursos hídrico y aire.</t>
  </si>
  <si>
    <t xml:space="preserve">Para la vigencia, en el marco de las agendas sectoriales se esta consolidando la linea base de diagnóstico de las empresas que cuentan con acciones de reconversión tecnologica, para la debida aplicación de los incentivos tributarios;  se formuló el proyecto que tiene por objeto la implementación de tecnologías limpias y/o de conservación con métodos que establezcan la proporcionalidad entre riesgo de operación y el beneficio a compensar; se logró la certificación de inversiones en control y mejoramiento del medio ambiente de empresas: Progel, Stepan Colombiana, Celema y CHEC, con lo cual se espera la reducción en el tiempo de cargas contaminantes sobre los recursos hídrico y aire.	</t>
  </si>
  <si>
    <t>Reducción de los niveles de ruido ambiental en los municipios priorizados del departamento.</t>
  </si>
  <si>
    <t>Municipios apoyados con acciones con el fin de disminuir los niveles de contaminación por ruido</t>
  </si>
  <si>
    <t>A través de la mesa de calidad del aire, submesa movilidad sostenible, se socializaron los resultados del mapa de ruido de la ciudad de Manizales (2019), comunicando la importancia de la gestión interinstitucional para abordar la temática y su control.</t>
  </si>
  <si>
    <t xml:space="preserve">En el municipio de Manizales la temática de ruido (datos del Mapa de Ruido, principales fuentes de ruido) se ha abordado a través de la Mesa de Calidad del Aire en la cual participan la administración municipal, Efigas, Confa, CHEC, UCM, la Oficina de la Bicicleta y Corpocaldas entre otras.
En municipios que han iniciado la revisión del EOT o PBOT, y que cuentan con Mapa de Ruido, este insumo ha sido aportado por Corpocaldas con el fin de tener en cuenta el control de este contaminante y los futuros desarrollos urbanísticos que se puedan desarrollar.
</t>
  </si>
  <si>
    <t xml:space="preserve">Se socializaron los mapas de ruido ambiental a través de la mesa de calidad del aire, submesa movilidad sostenible en el municipio de Manizales, con el fin de que el municipio y las diferentes instituciones conozcan y aporten a la gesión de mejorar el ambiente sonoro en la ciudad.  En la Mesa de Calidad del Aire participan la administración municipal, Efigas, Confa, CHEC, UCM, la Oficina de la Bicicleta y Corpocaldas entre otras. 
En municipios que han iniciado la revisión del EOT o PBOT, y que cuentan con Mapa de Ruido, este insumo ha sido aportado por Corpocaldas con el fin de tener en cuenta el control de este contaminante y los futuros desarrollos urbanísticos que se puedan desarrollar.
Adicionalmente se han realizado actividades tendientes a la gestión de ruido, incluyendo mediciones en Manizales, La Dorada y Viterbo"		</t>
  </si>
  <si>
    <t>Proyecto 6:  Administración de la biodiversidad y sus servicios ecosistémicos</t>
  </si>
  <si>
    <t>Implementación de estrategias que promueven la legalidad en el uso y aprovechamiento de la biodiversidad y sus servicios ecosistémicos</t>
  </si>
  <si>
    <t>Usuarios que acceden de forma legal al uso y aprovechamiento de los recursos naturales y sus servicios ecosistémicos</t>
  </si>
  <si>
    <t xml:space="preserve">775 usuarios que inician tramites ambientales 
3137 Peticiones asociadas con el uso y aprovechamiento inadecuado y afectación de los recursos naturales 
</t>
  </si>
  <si>
    <t>753 Usuarios que acceden de forma legal al uso y aprovechamiento de los recursos naturales y sus servicios ecosistémicos:
1) de las cuales el 56% corresponde a usuarios del recurso hídrico (concesiones y vertimientos), el 38% a usuarios del recurso flora (permisos de aprovechamiento), el 4% para ocupaciones de cauce y el 2% restante para licencias ambientales y permisos de estudio de los recursos naturales
2) se realizaron 1028 visitas de evaluación para la atención de solicitudes nuevas, prorrogas y/o modificaciones</t>
  </si>
  <si>
    <t xml:space="preserve">Durante esta vigencia se iniciaron 733 trámites  asociados a los diferentes permisos
</t>
  </si>
  <si>
    <t>se iniciaron 389 trámites asociados a los diferentes permisos que otorga la corporacion. aprovechamiento forestal (52,7%), concesiones de 
 agua superficial y subterránea y su respectivo permiso de vertimientos (36,8%), ocupaciones de cauce (6,2%), el porcentaje restante corresponde a otros trámites que son de menor frecuencia, como licencias ambientales y planes de manejo ambiental, permiso de emisiones atmosféricas,</t>
  </si>
  <si>
    <t xml:space="preserve">En el marco del ejercicio de la autoridad ambiental, razón principal del quehacer misional de Corpocaldas, durante el cuatrenio se desarrollaron actividades que promueven la legalidad del uso y aprovechamiento de la biodiversidad y sus servicios ecosistémicos, a partir de la evaluación de las solicitudes  de concesiones, permisos, autorizaciones y licencias ambientales, que se otorgan por parte de la entidad, así como el seguimiento al cumplimiento de las obligaciones de estos permisos otorgados.
Como logro de estas acciones se tiene que 2601 usuarios obtuvieron permisos ambientales con el fin de legalizar su uso y aprovechamiento; de las cuales el 51,2% corresponde a usuarios del recurso flora (permisos de aprovechamiento), 40,3% a usuarios del recurso hídrico (concesiones y vertimientos)  el 4,6% para ocupaciones de cauce, 3,9% a titulares de licencias ambientales o planes de manejo ambiental, permisos de emisiones atmosféricas, certificados de Centro de diagnóstico Automotor y Permisos de estudio de los Recursos Naturales 
Igualmente se dió la atención de las peticiones, quejas y reclamos asociadas con uso y el aprovechamiento de los recursos naturales y se adelanaron gestiones de seguimiento a los instrumentos ambientales vigentes		</t>
  </si>
  <si>
    <t xml:space="preserve">Expedientes de trámites ambientales de la vigencia resueltos </t>
  </si>
  <si>
    <t>Expedientes de trámites ambientales de la vigencia resueltos</t>
  </si>
  <si>
    <t>Ingresaron 640 expedientes, de los cuales se resolvieron 366; para lograr un 65% de Expedientes de trámites ambientales de la vigencia resueltos.</t>
  </si>
  <si>
    <t>335 Tramites resueltos en la vigencia</t>
  </si>
  <si>
    <t>se resolvieron un total de 364, de las cuales el 60,7% corresponde a usuarios del recurso flora (permisos de aprovechamiento), el 24,5% corresponde a usuarios del recurso hídrico (concesiones y vertimientos), el 8,8% para ocupaciones de cauce y el 6% restante para licencias Ambientales, certificados de Centro de Diagnóstico Automotor, certificación inversión de control y mejoramiento ambiental,</t>
  </si>
  <si>
    <t xml:space="preserve">Esta meta tiene como finalidad evaluar los expedientes iniciados y culminados en la respectiva vigencia  en los diferentes instrumentos de comando y control vigentes en la normatividad, dentro de los que se encuentran: Permisos de Aprovechamiento Forestal, Concesiones y permisos de vertimiento, Ocupación de Cauce, Licencias Ambientales, Permiso de estudio de recursos naturales, Permiso de Emisiones Atmosféricas, Certificado de centros de diagnóstico automotor, Certificación inversión de control y mejoramiento ambiental, entre otros.
De acuerdo a la meta propuesta para el cuatrienio se tenía resolver el 60% de las solicitudes recibidas, logrando al 30 de octubre de 2023 llegar al 49,2%  de las solicitudes recibidas para la vigecia. Es importante considerar que de los trámites iniciados por vigencia que no se podían resolver durante la misma pasaban a ser considerados pasivos, por lo que de todas maneras la mayoría fueron resueltos y se reportaron en la meta de pasivos.
Otro porcentaje de trámites no resueltos corresponde a casos en los que se hacen requerimientos de información adicional a los usuarios, los cuales no dan respuesta oportuna y otro porcentaje corresponde a los trámites iniciados ya tienen visita e informe técnico y sólo queda pendiente el acto administrativo, que para muchos casos ya se encuentra en proceso.
</t>
  </si>
  <si>
    <t xml:space="preserve">Pasivos de expedientes de trámites ambientales resueltos </t>
  </si>
  <si>
    <t>Pasivos de expedientes de trámites ambientales resueltos</t>
  </si>
  <si>
    <t xml:space="preserve">Al iniciar la vigencia 2020, se tiene un total de 2438 expedientes, que corresponden a 1752 expedientes de vigencias anteriores a 2019 que aún hacen parte del pasivo y 686 expedientes de la vigencia 2019 que no alcanzaron a ser resueltos. 
Considerando la situación atípica que se vivió durante esta vigencia, asociada a la llegada de la COVID 19, que nos forzó a cambiar nuestros esquemas de trabajo suspendiendo las salidas al campo, durante esta vigencia se hizo un gran esfuerzo y se avanzó mucho en la resolución de los pasivos ambientales, logrando resolver un total de 1838 que corresponden al 75%, superando la meta propuesta para este año que era del 60%.
Para la vigencia 2021 se inicia con un pasivo de 1045 expedientes </t>
  </si>
  <si>
    <t>El 2021 inicio con un pasivo de 1045 expedientes , de los cuales 600 expedientes de vigencias anteriores a 2019 que aún hacen parte del pasivo y 445 expedientes de la vigencia 2020 que no alcanzaron a ser resueltos.  El 63% de ellos, es decir 665 fueron resueltos en la vigencia 2021.</t>
  </si>
  <si>
    <t>Al iniciar la vigencia 2022 se tenían un total de 1131 expedientes, iniciados en vigencias anteriores. Durante la vigencia 2022 se resolvieron 858 trámites de los cuales 353 fueron archivados y 505 resueltos mediante resolución, logrando avanzar en un 75,9% del pasivo</t>
  </si>
  <si>
    <t>Al iniciar la vigencia 2023 tenían un total de 1131 expedientes, iniciados en vigencias anteriores. Durante la vigencia 2022 se resolvieron 858 trámites de los cuales 353 fueron archivados y 505 resueltos mediante resolución, logrando avanzar en un 75,9% del pasivo</t>
  </si>
  <si>
    <t xml:space="preserve">Se consideran pasivos todas aquellos trámites que fueron radicados en vigencias anteriores al momento en que son resueltos, Corpocaldas en el ejercicio de Autoridad realiza esfuerzos técnicos y jurídicos para dar respuestas oportunas al requerimiento de los usuarios tendientes a legalizar el uso y aprovechamiento de los recursos naturales y sus servicios ecosistémicos, durane este cuatrenio se planteo una meta del 60%, la cual fue alcanzada a satisfacción.			</t>
  </si>
  <si>
    <t xml:space="preserve">Procesos sancionatorios con actuación </t>
  </si>
  <si>
    <t>procesos sancionatorios con al menos una actuacion / total de procesos sancionatorios vigentes</t>
  </si>
  <si>
    <t>En el año 2021 se recibieron un total de 888 expedientes sancionatorios de años anteriores (pasivo) que sumados a los 182 aperturados, nos arroja un total de 1070 expedientes.  Durante la vigencia 2021, el 77% de estos Procesos sancionatorios tuvieron actuación.</t>
  </si>
  <si>
    <t>En el año 2022 se recibieron un total de 843 expedientes sancionatorios de años anteriores (pasivo) que sumados a los 102 aperturados en la vigencia 2022, nos arroja un total de 945 expedientes sancionatorios.</t>
  </si>
  <si>
    <t>693 expedientes sancionatorios de años anteriores (pasivo) que sumados a los 94 aperturados en el primer semestre, suman un total de 787 expedientes sancionatorios.</t>
  </si>
  <si>
    <t xml:space="preserve">La meta alcanzada del 60%, corresponde al total de procesos sancionatorios con actuación por el 100% sobre el total de procesos sancionatorios activos, el cual arrojó un resultado satisfactorio para cada una de las vigencias del cuatrenio, siendo las vigencias mas representativas 2021 y 2022 con 77% y 73% respectivamente.			</t>
  </si>
  <si>
    <t>Formalización minera y evaluación de legalización de solicitudes mineras</t>
  </si>
  <si>
    <t>Solicitudes de legalización o de formalización minera con valoración ambiental</t>
  </si>
  <si>
    <t xml:space="preserve">1) Revisión documental de la base de datos y documentos correspondientes a la información remitida por la Agencia Nacional de Minería – ANM para 12 solicitudes rechazadas. 
2) Revisión documental de 21  expedientes de las solicitudes de legalización minera rechazadas por la Autoridad Minera, las cuales cuentan con expedientes activos de Planes de Manejo Ambiental en la Corporación. 
3) Ubicación de coordenadas y generación de polígonos para definir la programación de rutas finales de visitas para 33 casos relacionados y correspondientes al municipio de Marmato. 
4) Realización de las 33 visitas de valoración y seguimiento en campo. 
5) Elaboración de los informes preliminares. </t>
  </si>
  <si>
    <t>se realizaron las 50 visitas programadas, de las cuales 45 corresponden a solicitudes de legalización de minera rechazadas, generando informes técnicos con recomendaciones para imposición de medidas de cierre y restauración ambiental cuando amerita y caso contario para cierre del expediente, y 5 de expedientes con PMA vigente.
Por otro lado, se suscribe el contrato 515-2021 con la Agencia Nacional de Minería mediante el cual se logrará el apoyo a 3 unidades de producción minera en la elaboración de su PMA</t>
  </si>
  <si>
    <t xml:space="preserve">imposición de PMA para la formalización de 3 operaciones mineras se adelantó con el apoyo financiero de la ANM </t>
  </si>
  <si>
    <t>NO DICE NADA EN EL INFORME DE GESTION</t>
  </si>
  <si>
    <t>Se atendieron durante el cuatrenio 125 actuaciones en el marco de la formalización minera a partir de dos (2) enfoques: 
Por un lado, las solicitudes de legalización minera presentadas ante la autoridad minera a partir del año 2010 que se encontraban amparadas en el Decreto 933 de 2013, mediante el cual se establecieron diferentes aspectos procedimentales para la atención de dichas solicitudes, entre ellos la imposición de medidas de restauración ambiental para aquellos casos en que las solicitudes de legalización fueran rechazadas por motivaciones mineras o ambientales.
Por otro lado, en el marco de la Ley 1955 de 2019 Bases del Plan Nacional de Desarrollo 2018-2022 "Pacto por Colombia, Pacto por la Equidad"", se definieron una serie de objetivos para regularizar el aprovechamiento de los recursos naturales de la pequeña minería a través de las Licencias Ambientales Temporales, Globales y Definitvas. Esta Corporación, ha realizado actuaciones en torno a las solicitidues de Licenciamiento Ambiental Temporal.
Estas actuaciones fueron adelantadas en los municipios de Anserma, Marmato, Victoria, Viterbo y Chinchiná,</t>
  </si>
  <si>
    <t xml:space="preserve">Plan de seguimiento a instrumentos de comando y control para la administración de la biodiversidad y sus servicios ecosistémicos </t>
  </si>
  <si>
    <t>Cumplimento del plan de seguimiento a instrumentos de comando y control para la administración de la biodiversidad y sus servicios ecosistémicos</t>
  </si>
  <si>
    <t xml:space="preserve">85% Cumplimento del plan de seguimiento a instrumentos de comando y control para la administración de la biodiversidad y sus servicios ecosistémicos: 
- 105 licencias ambientales 
- 404 concesiones de agua 
- 198 permisos de vertimiento 
- 74 aprovechamientos forestales 
- 29 permisos de emisiones atmosfericas </t>
  </si>
  <si>
    <t xml:space="preserve">Durante la vigencia 2022 se realizó seguimiento a 1365 Licencias, concesiones, permisos o autorizaciones ambientales, discriminado de la siguiente manera:
</t>
  </si>
  <si>
    <t>1.  se realizó seguimiento a 250 licencias, concesiones, permisos o autorizaciones ambientales
 2. Seguimientos a los Planes de Gestión Integral de Residuos Sólidos: Marquetalia, Pensilvania, Palestina, Manzanares, Victoria, Neira, 
 Riosucio, Villamaría, Chinchiná, La Dorada, Marmato, Viterbo, Supía, San José, Anserma, Aránzazu, Norcasia, Manizales.
 3. En el primer semestre del año 2023 se registraron 32 proyectos constructivos sujetos a entrega del programa de manejo ambiental de Residuos de Construcción y Demolición (RCD) en sus diferentes etapas.</t>
  </si>
  <si>
    <t xml:space="preserve">Durante el cuatrienio, se logró un seguimiento del 88% con respecto al plan de seguimiento de las licencias, permisos y/o autorizaciones, mediante licencias ambientales, concesiones de aguas, permisos de vertimientos, aprovechamientos forestales y permisos de emisiones atmosféricas, en los municipios de Marquetalia, Pensilvania, Palestina, Manzanares, Victoria, Neira, Riosucio, Villamaría, Chinchiná, La Dorada, Marmato, Viterbo, Supía, San José, Anserma, Aránzazu, Norcasia, Manizales.			</t>
  </si>
  <si>
    <t>Operativos de control seguimiento y vigilancia de la biodiversidad</t>
  </si>
  <si>
    <t>Operativos de control seguimiento y vigilancia de la biodiversidad ejecutados</t>
  </si>
  <si>
    <t xml:space="preserve">1). El grupo de Gobernanza forestal atendió:  24 asesorías, 65 seguimientos a autorizaciones otorgadas, 78 visitas a establecimientos de comercio de productos forestales y 37 operativos de control o retenes
2) Atencion fauna:  16. operativos en terminales - tiendas de mascotas 
244 Rescates
18 Decomiso preventivo
16 Incautacion 
</t>
  </si>
  <si>
    <t>184 Operativos de control seguimiento y vigilancia 
1). 114 operativos a traves del Manejo de conflictos asociados a biodiversidad y los servicios ecosistémicos. – grupo GEF. (Manizales - Chinchina - neira - villamaria - otros)
2) 70 campañas de monitoreo desarrolladas por el Grupo de Reacción Inmediata en vertimientos y concesiones</t>
  </si>
  <si>
    <t>771 Operativos Manejo de conflictos asociados a biodiversidad y los servicios ecosistémicos. - grupo GEF}
64 ejercicios de monitoreo con el Grupo de Reacción Inmediata en vertimientos y concesiones
7 jornadas de Operativos a predios aguacateros</t>
  </si>
  <si>
    <t>1. grupo técnico de Gobernanza forestal: 27 Operativos Fijos y Móviles, 1079 PQR’S atendidos, 47 Monitoreo Resoluciones de Aprovechamiento Forestal (AFOR), 80 Seguimiento Centros de Transformación y Comercialización de La Madera.
 2. Grupo de Reacción Inmediata en vertimientos y concesiones: se adelantaron 15 jornadas de monitoreo asociados al ejercicio de control para determinar el cumplimiento de límites permisibles y la posible afectación de fuentes hídricas afectadas por vertimiento: ARME, Buencafé, IBC, Descafecol Descafeinadora, FLP, Plastigoma, Mapy,Herragro, MAYCO, Termales El Otoño, Normandy, Induma Tesorito, Centro Logístico Tesorito, Spa y Resort Guadalajara, PBA Neira, Bellota</t>
  </si>
  <si>
    <t xml:space="preserve">Para el cumplimiento de la meta, se ejecutaron los siguientes operativos de control, seguimiento y vigilancia de la biodiversidad: 
1) El grupo de Gobernanza Forestal atendió: 24 asesorías, 65 seguimientos, 78 visitas a establecimientos de comercio de productos forestales y 37 operativos de control. 
2) 244 rescates, 18 decomisos preventivos, 16 incautaciones; tambien se realizaron 114 operativos a través del Manejo de conflictos asociados a biodiversidad y los servicios ecosistémicos en: Manizales (72), Chinchiná (9), Neira (10), Villamaría (9), otros (14), y 70 campañas de monitoreo desarrolladas por el Grupo de Reacción Inmediata en vertimientos y concesiones
3) así mismo se realizaron 771 Operativos Manejo de conflictos asociados a biodiversidad y los servicios ecosistémicos, con el Grupo de Gobernanza Forestal se atendieron 64 ejercicios de monitoreo con el Grupo de Reacción Inmediata en vertimientos y concesiones
7 jornadas de Operativos a predios aguacateros;  con el Grupo de Gobernanza forestal se atendieron 27 Operativos Fijos y Móviles, 1079 PQR’S, 47 Resoluciones de Aprovechamiento Forestal, 80 Seguimientos a Centros de Transformación y Comercialización de La Madera, por el Grupo de Reacción Inmediata en vertimientos y concesiones se adelantaron 15 jornadas de monitoreo asociados al ejercicio de control para determinar el cumplimiento de límites permisibles y la posible afectación de fuentes hídricas afectadas por vertimiento."			
</t>
  </si>
  <si>
    <t xml:space="preserve">Implementación de estrategias que  promueven la legalidad en el uso y aprovechamiento de la biodiversidad y sus servicios ecosistémicos en territorios indígenas </t>
  </si>
  <si>
    <t>Estrategias implementadas que promueven la legalidad en el uso y aprovechamiento de la biodiversidad y sus servicios ecosistémicos en territorios indígenas</t>
  </si>
  <si>
    <t>Mecanismos de concertación y materialización de acuerdos para el ejercicio de autoridad ambiental
Apoyo para el fortalecimiento del grupo de guardia indígena de comunidades indígenas</t>
  </si>
  <si>
    <t>2 Estrategias implementadas que promueven la legalidad en el uso y aprovechamiento de la biodiversidad y sus servicios ecosistémicos en territorios indígenas:
- se dio aplicación al mecanismo de Enlace Ambiental Indígena orientado a la facilitación del diálogo y trabajo coordinado y conjunto entre las Autoridades Indígenas Tradicionales y la Autoridad Ambiental Regional en cabeza de Corpocaldas, desde allí se facilitó una agenda de interacciones con cada uno de los 17 cabildos indígenas del departamento
- Acompañamiento en la formalización de trámites de usuarios de recursos naturales en comunidades indígenas</t>
  </si>
  <si>
    <t xml:space="preserve">Enlace indigena para desarrollar el proceso de relacionamiento, gestión y trabajo conjunto entre Corpocaldas y las Autoridades y comunidades indígenas de Caldas, en el marco de la agenda ambiental indígena y el abordaje de diferentes conflictos ambientales presentes en territorios indígenas
- Acompañamiento en torno al desarrollo de la Mesa Permanente de Concertación Indígena Departamental
- Acompañamiento en la formulación y gestión de proyectos e iniciativas conjuntas con enfoque diferencial
- Sistematización de la evaluación conjunta entre las autoridades y comunidades indígenas, CRIDEC y Corpocaldas, en torno a los avances de los acuerdos de consulta previa establecidos </t>
  </si>
  <si>
    <t>Mecanismos de concertación y materialización de acuerdos para el ejercicio de Autoridad Ambiental.  Con la Asociación de Cabildos Indígenas de Caldas ACICAL, se vienen desarrollando talleres encaminados a direccionar el ejercicio de autoridad ambiental dentro del territorio de la parcialidad indígena Cauroma</t>
  </si>
  <si>
    <t xml:space="preserve">durante el cuatrenio se desarrollo un mecanismo de concertación y materialización de acuerdos para el ejercicio de autoridad ambiental, apoyo para el fortalecimiento del grupo de guardia indígena regional del CRIDEC; se implementan 2 estrategias que promueven la legalidad en el uso y aprovechamiento de la biodiversidad y sus servicios ecosistémicos en territorios indígenas, se dio aplicación al mecanismo de Enlace Ambiental Indígena facilitando el diálogo y trabajo coordinado y conjunto entre las Autoridades Indígenas y Corpocaldas, desde allí se creó una agenda de interacciones con cada uno de los 17 cabildos indígenas del departamento, acompañamiento en la formalización de trámites de usuarios de recursos naturales en comunidades indígena.
La estrategia de con un Enlace Indígena para desarrollar el proceso de relacionamiento, gestión y trabajo conjunto entre Corpocaldas y las Autoridades y comunidades indígenas de Caldas, en el marco de la agenda ambiental indígena y el abordaje de diferentes conflictos ambientales presentes en sus territorios, acompañamiento permanente al desarrollo de la Mesa Permanente de Concertación Indígena Departamental, acompañamiento en la formulación y gestión de proyectos e iniciativas conjuntas con enfoque diferencial, sistematización de la evaluación conjunta entre las Autoridades y comunidades indígenas, CRIDEC y Corpocaldas, en torno a los avances de los acuerdos de consulta previa establecidos; en el convenio con la Asociación de Cabildos Indígenas de Caldas ACICAL, se viene trabajando en talleres encaminados a direccionar el ejercicio de autoridad ambiental dentro del territorio de la parcialidad indígena Cauroma. 
Con el resguardo Colonial Cañamomo Lomaprieta se viene trabajando en la implementación del Plan de Eco sabiduría Ambiental, se sigue trabajado mecanismos de concertación y materialización de acuerdos para el ejercicio de Autoridad Ambiental y solución de conflictos ambientales por medio del PORH de la quebrada Aguas Claras en la parcialidad Cartama. 			</t>
  </si>
  <si>
    <t>Linea Estratégica Riesgos Ambientales y Cambio climático</t>
  </si>
  <si>
    <t>PROGRAMA GESTIÓN DEL CAMBIO CLIMÁTICO PARA UN DESARROLLO BAJO EN CARBONO Y RESILIENTE AL CLIMA</t>
  </si>
  <si>
    <t>SUBPROGRAMA III GESTIÓN DE RIESGOS AMBIENTALES Y CAMBIO CLIMÁTICO</t>
  </si>
  <si>
    <t>Proyecto 7:  Reduccion de riesgos ambientales y recuperación ambiental</t>
  </si>
  <si>
    <t>Portafolio de medidas de reducción de riesgos  ambientales para el departamento de Caldas</t>
  </si>
  <si>
    <t>Portafolio diseñado de medidas de reducción de riesgos ambientales para el departamento de Caldas</t>
  </si>
  <si>
    <t>1). se generó un borrador de idea para el portafolio, con base en la información anterior.
2). A partir de la compilación y documentación del caso de medidas de reducción del riesgo basadas en ecosistemas para la cuenca del rio Guarinó, se siguió el trabajo con ONU Ambiente, en la revisión e intercambio con recomendaciones del video ilustrativo del caso para uso en el curso virtual que tienen</t>
  </si>
  <si>
    <r>
      <rPr>
        <sz val="8"/>
        <color rgb="FF000000"/>
        <rFont val="Arial"/>
      </rPr>
      <t xml:space="preserve">Portafolio diseñado de medidas de reducción de riesgos ambientales para el departamento de Caldas.
A traves de validación de las obras de reducción del riesgo construidas bajo la modalidad de "Obras Tipo", se definen las obras de reducción del riesgo en sitios críticos puntuales del departamento de Caldas, aplicando la metodología de obras tipo y ayuda en la estructuración de proyectos relacionados con temas medioambientales, gestión del riesgo y adaptación al cambio climático. </t>
    </r>
  </si>
  <si>
    <t>Durante la vigencia 2022 se consolidó el portafolio de medidas de reducción de riesgos ambientales, brindando apoyo a trámites ambientales y a la definición de obras, asesorías técnicas y medidas de reducción de riesgos ambientales en los municipios del departamento de Caldas
atención de 1499 solicitudes de asesoría técnica, derechos de petición, acciones populares, acciones de tutela, inspecciones judiciales, en temas referentes a gestión del riesgo por deslizamientos, inundaciones e incendios forestales</t>
  </si>
  <si>
    <t>Durante el primer semestre de 2023 se realizó la validación de 2 obras tipo, ubicadas en el barrio Los Nogales de Palestina y en el barrio Estrada del municipio de Manizales. se apoyó al equipo de geotécnica en la implementación de procesos de reducción del riesgo para el sector Makadamia en el municipio de Neira, en el análisis de estabilidad de taludes y proyección de obras a corto y mediano plazo</t>
  </si>
  <si>
    <t xml:space="preserve">Se suscribieron diferentes contratos de prestación de servicios con el fin de consolidar un portafolio de medidas de reducción del riesgo para el departamento de Caldas, brindando apoyo a la definición de obras, asesorías técnicas y medidas de reducción de riesgos ambientales en los municipios del departamento de Caldas. Hasta la fecha se ha elaborado un formato de validación de las obras de reducción del riesgo construidas bajo la modalidad de ""Obras Tipo"", el cual apoya la propuesta y definición de obras de reducción del riesgo en sitios críticos puntuales del departamento de Caldas, aplicando la metodología de obras tipo y ayuda en la estructuración de proyectos relacionados con temas medioambientales, gestión del riesgo y adaptación al cambio climático, aplicando la metodología de ""Obras Tipo"".
Durante los años 2020 y 2021, se realizó un video institucional a partir de la compilación y documentación del caso de medidas de reducción del riesgo basadas en ecosistemas para el caso de este tipo de obras realizadas en la cuenca del río Guarinó, mediante convenios interinstitucionales suscritos con Isagen y Cortolima. 
En la actualidad, se está estructurando un documento soporte del portafolio de medidas de reducción de riesgos ambientales para el departamento de Caldas ; así mismo, se pretende suscribir un nuevo contrato por ciencía y tecnología, mediante el cual se tiene proyectado estructurar una metodología para el diagnóstico, análisis, diseño e implementación de medidas de atención con obras de bioingeniería y reconversión productiva, que contemple una agrupación de problemáticas, en función de los usos del suelo, las pendientes y la infraestructura en riesgo; y una asociación de obra de bioingeniería tipo correctiva y preventiva, con sus respectivos esquemas de detalle, a cada grupo identificado. "						</t>
  </si>
  <si>
    <t>Proyectos de reducción de riesgos ambientales basados en ecosistemas y/o en las dinámicas de la naturaleza</t>
  </si>
  <si>
    <t>Proyectos municipales implementados para la reducción de riesgos ambientales basados en ecosistemas y/o en las dinámicas de la naturaleza</t>
  </si>
  <si>
    <t xml:space="preserve">1). Convenio Tripartita ISAGEN-CORPOCALDAS-CORTOLIMA.  componentes de bioingeniería en los municipios de Manzanares (sector La Argentina y Campoalegre), Marulanda (Vda El Desquite) y Fresno (Vda. California).
2). convenio 177-2020 con el municipio de La Merced para la intervención de un sector del predio Bonanza con obras de recuperación de control de erosión y recuperación de suelos degradados
3). se adelanta un proyecto de implementación de uso de neumáticos o llantas usadas en la construcción de obras de contención o retención, que contribuyan a la mitigación de riesgos
</t>
  </si>
  <si>
    <t>A traves del comvenio tripartita ISAGEN - CORTOLIMA - CORPOCALDAS, se adelantar la ejecución de 4 proyectos para la reducción de riesgos ambientales basados en ecosistemas en los componentes de bioingeniería en los municipios de Manzanares (sector La Argentina y Campoalegre), Marulanda (Vda El Desquite) y Fresno (Vda. California).</t>
  </si>
  <si>
    <t>se avanzó en la ejecución de obras de bioingeniería en el sector Aguabonita del municipio de Pensilvania y en el sector Guayabales del municipio de Samaná.
Manizales 	Escuela de Carabineros - Barrio Bengala – talud inferior parque infantil - Vereda La Bodega - Barrio Villa Kempis 
San José 	Vereda Pacífico 
Chinchiná	Barrio Carlos Parra
se suscribió el contrato para el desarrollo de actividades científicas y tecnológicas N° 154-2022, con el objeto de implementar un proyecto piloto para la aplicación de técnicas propias de la Ingeniería Verde en la cárcava de la vereda El Aventino del municipio de Manizales
se adelantó la elaboración de una metodología de diseño y proceso constructivo de muros de contención con llantas, con el fin de contribuir a la mitigación de riesgos. Este tipo de estructuras se proyectan diseñar bajo los parámetros técnicos de las obras de contención convencionales</t>
  </si>
  <si>
    <t>1. Municipio de Manzanares, en donde se adelanta la construcción de obras de bioingeniería en un carcavamiento en el sector Santa Clara y en el sector Vuelta de la Vaca.
 2. Proyecto piloto bioingeniería - Verde Ingeniería - Proyecto Cárcava El Aventino – Municipio de Manizales.</t>
  </si>
  <si>
    <t xml:space="preserve">se lograron ejecutar obras de bioingeniería en diferentes municipios del Dapartamento de acuerdo a las metas planteadas en el Plan de Acción. Es así como en el año 2020 se suscribió contrato mediente el cual se ejecutaron obras de reducción de riesgo basados en ecosistemas o dinámicas de la naturaleza en los municipios de Manzanares (sector La Argentina y Campoalegre), Fresno (vereda California), también se adelantaron obras en el predio La Bonanza. Estas obras fueron culminadas satisfactoriamente durante la vigencia 2021.
En el año 2022 se ejecutaron obras de reducción de riesgo basados en ecosistemas o dinámicas de la naturaleza en los municipios de Pensilvania (vereda Aguabonita), Samaná (sector Guayabales), Manizales (Escuela de Carabineros, La Bodega, Villa Kempis, Bengala), San José (vereda Pacífico) y Chinchiná  (barrio Carlos Parra).
En lo corrido del año 2023, se avanza en la construcción de obras de obras de reducción de riesgo basados en ecosistemas o dinámicas de la naturaleza (bioingeniería) en el municipio de Manzanares (sector Santa Clara y sector Vuelta de la Vaca) y en el municipio de Manizales (vereda El Aventino).
A la fecha se tiene proyectado adelantar un  programa de implementación de Soluciones Basadas en la Naturaleza - SBN, que permitan la Reducción del Riesgo de Desastres a partir de un correcto manejo de los Ecosistemas - ECO - RRD promoviendo la participación de las comunidades rurales del departamento de Caldas. </t>
  </si>
  <si>
    <t>Construcción de obras de estabilización, protección y control en laderas y cauces</t>
  </si>
  <si>
    <t>Municipios con sitios críticos de riesgo intervenidos</t>
  </si>
  <si>
    <t>1). Con recursos de la vigencia 2019; se culmina la intervencion en 11 municipios del departamento
2) Con recursos de la vigencia 2020, y recursos de la vigencia 2021 (vigencias futuras aprobados por el Consejo Directivo de Corpocaldas mediante el Acuerdo No. 14 de agosto 25), se suscribieron nuevos convenios para ejecutar obras de reducción del riesgo en diferentes sectores de las áreas urbanas y rurales de los municipios del departamento, e igualmente, se adicionaron otros convenios ya existentes, con el fin de atender un total de 92 sitios críticos priorizados por parte de los Consejos Municipales de Gestión del Riesgo de Desastres de los siguientes municipios:
Aguadas (2 sitios), Anserma (4), Aranzazu (6), Belalcazar (4), Chinchiná (3), Filadelfia (2), La Merced (1), Pácora (7), Manzanares (4), Marmato (6), Marquetalia (3), Marulanda (2), Neira (3), Norcasia (3), Pácora (7), Palestina (1), Risaralda (4), Salamina (5), San José (3), Supía (1), Victoria (4), Viterbo (7) y Manizales (10)</t>
  </si>
  <si>
    <r>
      <rPr>
        <sz val="8"/>
        <color rgb="FF000000"/>
        <rFont val="Arial"/>
      </rPr>
      <t>Se atienden 92 sitios criticos priorizados por parte de los Consejos Municipales de Gestión del Riesgo de Desastres de los siguientes municipios:
Aguadas (2 sitios), Anserma (4), Aranzazu (6), Belalcázar (4), Chinchiná (3), Filadelfia (2), La Merced (1), Manzanares (4), Marmato (6), Marquetalia (3), Marulanda (2), Neira (3), Norcasia (3), Pácora (7), Palestina (1), Risaralda (4), Salamina (5), San José (3), Supía (1), Victoria (4), Viterbo (7), Villamaría (3) y Manizales (18).
Proyecto UNGRD – Municipios de Pensilvania y Samaná:  Se realizó la construcción de muro de contención para dar soporte a la vía de Aguabonita y se realizan obras de bioingeniería en la Cárcava Aguabonita, consistentes en construcción de trinchos y siembra de vetiver, canales en polimez para el manejo de las aguas lluvias y diques en gaviones con costales de suelo cemento con el fin de mitigar el riesgo por deslizamiento que amenaza el centro poblado de dicha vereda.  se avanza en la ejecución de 3 frentes de obra ubicados en los Sectores Guayabales, Barrio Asovisa y Barrio la Inmaculada, con el fin de reducir el riesgo por deslizamiento en que se encontraban dichas zonas del área urbana del municipio de Samaná</t>
    </r>
  </si>
  <si>
    <t>Un total de (90) sitios, así: Anserma, Aranzazu , Chinchiná, Filadelfia, La Merced, Manzanares, Marmato, Marquetalia, Marulanda, Neira, Norcasia, Pácora, Palestina , Pensilvania, Riosucio,  Risaralda, Salamina, Samaná, Supía, Victoria, Viterbo,  San José, Villamaría</t>
  </si>
  <si>
    <t>Ejecución de obras o puntos críticos, uno en cada municipio vigencias 20221 - 2022 y 2023. Suscripcion de 29 nuevos convenios con los municipios para tencion de puntos de riesgo priorizados por el CMGR. En total, a través de los 29 convenios suscritos hasta el momento, se proyecta la intervención de 72 sitios o puntos críticos</t>
  </si>
  <si>
    <t>Durante el cuatrenio se ha logrado apoyar a todas las administraciones municipales en la construcción de obras de reducción del riesgo en diferentes sectores de las áreas urbanas y rurales de los municipios del departamento, los cuales han sido previamente priorizados por parte de los Consejos Municipales de Gestió del Riesgo de Desastres - CMGRD.
Para ello, se ha brindado apoyo por parte de CORPOCALDAS en la realización de visitas técnicas, elaboración de presupuestos, estudios previos para la suscripción de convenios interadministrativos mediante los cuales se han construido obras de reducción del riesgo.
Es de señalar que los avances en materia de gestión del riesgo de desastres en los diferenets municipios del Departamento, ha sido en parte, el resultado de la acción conjunta entre las Administraciones Municipales, la Corporación Autónoma Regional de Caldas y otros actores que han aportado su conocimiento, capacidad técnica y financiera, para la consolidación del sistema municipal de gestión de riesgo de desastres, con el fin de lograr una respuesta oportuna y eficiente ante eventos que pueden poner en riesgo vidas humanas, bienes e infraestructura en el Departamento.
Debido a esta unión de esfuerzos, se han ejecutado múltiples acciones de reducción del riesgo tales como, obras de estabilidad de taludes, manejo de aguas lluvias, control torrencial, bioingeniería y demás, dentro de un gran número de sitios con alta exposición a situaciones de riesgo, lo cual ha permitido mitigar potencialmente situaciones que pueden llegar a alterar el normal desarrollo socio-económico de los municipios del Departamento. Con la construcción de estas obras, se han logrado disminuir las condiciones de riesgo de los sitios afectados por procesos de inestabilidad, remoción en masa, erosión e inundaciones, y que afectaban a la población residente en sectores adyacentes.
En este contexto, es importante resaltar que CORPOCALDAS ha sido un aliado estratégico de las administraciones municipales de su jurisdicción, frente al manejo de las condiciones especiales de topografía, clima, geología e hidrología imperantes en el departamento de Caldas, así como frente a la ocurrencia de fenómenos naturales y antrópicos imprevisibles, mediante la implementación de acciones concretas de prevención, control y mitigación de riesgos medioambientales, de acuerdo con lo dispuesto en el Decreto 919 de 1989, las Leyes 99 de 1993 y 1523 de 2012.</t>
  </si>
  <si>
    <t>Medidas de remediación y recuperación ambiental desarrolladas en ecosistemas afectados por emergencias</t>
  </si>
  <si>
    <t>Ecosistemas afectados por emergencias o desastres con medidas de remediación y recuperación ambiental</t>
  </si>
  <si>
    <t xml:space="preserve">No hubo afectaciones en la vigencia </t>
  </si>
  <si>
    <t>No se asignaron recursos financieros para el año 2021</t>
  </si>
  <si>
    <t xml:space="preserve">Proyectos de reducción de riesgos ambientales basados en ecosistemas y/o en las dinámicas de la naturaleza en territorios indígenas </t>
  </si>
  <si>
    <t>Proyectos implementados para la reducción de riesgos ambientales basados en ecosistemas y/o en las dinámicas de la naturaleza en territorios indígenas</t>
  </si>
  <si>
    <t>1). CRIDEC, UDGR. UNGR,CORPOCALDAS, Se avanza en el establecimiento de un Plan de Gestión del Riesgo Embera, que involucre la visión y los saberes propios de las comunidades indígenas, en relación con la gestión de riesgos, su manejo y tratamiento. 
2). Convenio 274 de 2020, se implementara una obra de reducción de riesgos ambientales, basada en ecosistemas y/o en las dinámicas de la naturaleza, puntos específicos de atención en las parcialidades de Ansea y Cauroma. 
3) A través del convenio 644 de 2020, desarrollado con Minambiente y ACICAL-CRIDEC; identificación de sitios y situaciones que en los resguardos, parcialidades y asentamientos evidencian riesgos ambientales. Se destacan situaciones los resguardos Escopetara y Priza (Sector Pirza), Nuestra Señora Candelaria de La Montaña (Sector de San Lorenzo (Sector Montaña Vieja), San Lorenzo (socavación Quebrada Aguas Claras, Centro Poblado San Lorenzo), Cañamomo Lomaprieta (sector Sipirra); Parcialidades de La Soledad (sector Escuela), Cauroma (sectores Murillo y La Bodega); Asentamiento de Damasco (donde están las algunas viviendas).</t>
  </si>
  <si>
    <t>En forma conjunta con el Consejo Regional Indígena de Caldas -CRIDEC- y las autoridades indígenas de los diferentes cabildos, se realizó identificación y priorización de puntos críticos para la atención de riesgos y necesidades de estabilización y protección de laderas en los resguardos de San Lorenzo - Escopetera y Pirza - Parcialidad la Trina - Cauroma.</t>
  </si>
  <si>
    <t xml:space="preserve">Convenio con el resguardo indigena para  la construcción de obras de estabilidad de taludes y manejo de aguas en sitios críticos del área urbana y rural del Resguardo Indígena San Lorenzo </t>
  </si>
  <si>
    <t xml:space="preserve">Con el CRIDEC, la UDGR, la UNGR y CORPOCALDAS, se realizó en el establecimiento de un Plan de Gestión del Riesgo Embera, que involucra la visión y los saberes propios de las comunidades indígenas, en relación con la gestión de riesgos, su manejo y tratamiento;  se implementó una obra de reducción de riesgos ambientales, basada en ecosistemas y/o en las dinámicas de la naturaleza, puntos específicos de atención en las parcialidades de Ansea y Cauroma; 
a través del convenio desarrollado con Minambiente, ACICAL y CRIDEC se realizó la identificación de sitios y situaciones que evidencian riesgos ambientales en las comunidades indígenas del departamento, se destacan situaciones en los resguardos Escopetara y Priza comunidad Pirza, La Montaña comunidades de la zona denominada Montaña Vieja, San Lorenzo socavación Quebrada Aguas Claras en el centro poblado San Lorenzo, Cañamomo Lomaprieta comunidad Sipirra; Parcialidades de La Soledad sector la Escuela, en la parcialidad Cauroma sectores Murillo y La Bodega; Asentamiento de Damasco cerca de algunas viviendas. 
En forma conjunta con el CRIDEC y las Autoridades Indígenas de los diferentes cabildos, se realizó identificación y priorización de puntos críticos para la atención de riesgos y necesidades de estabilización y protección de laderas en los resguardos de San Lorenzo y Escopetera y Pirza y las Parcialidades la Trina y Cauroma. 
En convenio con el resguardo San Lorenzo se ejecutó la construcción de obras de estabilidad de taludes y manejo de aguas en sitios críticos del área urbana y rural. 		</t>
  </si>
  <si>
    <t xml:space="preserve">Construcción de obras de estabilización, protección y control en laderas y cauces en territorios indígenas </t>
  </si>
  <si>
    <t>Obras o puntos críticos intervenidos en territorios indígenas</t>
  </si>
  <si>
    <t>Se avanzo en la definición de requerimientos técnicos y presupuestales para canalización en la quebrada Honduras, resguardo indígena de San Lorenzo, a la altura del sector donde se proyecta la plaza de mercado y sobre el sector del Kiosco comunitario en la parcialidad de Cauroma.  Alli se proyecta realizar obras o acciones para manejo y canalización de aguas de escorrentía.</t>
  </si>
  <si>
    <t>Se espera ejecutar las acciones pertinentes en el marco del convenio interadministrativo 210-2021 "Aunar esfuerzos técnicos, administrativos y financieros para la construccion de obras de estabilidad de taludes y manejo de aguas  en sitios criticos del área urbana y rural del Resguardo Indigena San Lorenzo por el sistema de monto agotable". Actualmente en ejecución</t>
  </si>
  <si>
    <t>Resguardo Indígena De San Lorenzo,</t>
  </si>
  <si>
    <t>Se avanzó en la definición de requerimientos técnicos y presupuestales para canalización en la quebrada Honduras del resguardo San Lorenzo, a la altura del sector donde se proyecta la plaza de mercado, también, en el sector del Tambo comunitario de la parcialidad de Cauroma, se proyecta realizar obras o acciones para manejo y canalización de aguas de escorrentía. 
Se ejecutó convenio interadministrativo con el Resguardo Indígena de San Lorenzo, mediante el cual realizó la construcción de obras de estabilidad de taludes y manejo de aguas en sitios críticos del área urbana y rural.  Así mismo se llevó a cabo la canalización de 52 m de la quebrada Honduras en el centro poblado del Territorio Ansestral San Lorenzo.
En convenio con el Resguardo Indigena de Cañamomo y Lomaprieta se construyó sistema de tratamiento de aguas residuales de mineria en la comunidad de Tumbabarreto sector morón.</t>
  </si>
  <si>
    <t>Proyecto 8:  Acciones de adaptacion y mitigacion al cambio climático</t>
  </si>
  <si>
    <t>Objetivo 13: Adoptar medidas urgentes para combatir el cambio climático y sus efectos</t>
  </si>
  <si>
    <t xml:space="preserve">Implementación y seguimiento  de acciones climáticas asociadas al PIGCC en los municipios del departamento de Caldas </t>
  </si>
  <si>
    <t>Municipios con acciones climáticas implementadas</t>
  </si>
  <si>
    <t>1). curso de finanzas climáticas dirigido a 50 personas 
2). Acompañamiento y promoción de Escuelas bioclimáticas en Caldas.  uno de los 4 seleccionados para el diseño en idea concepto para ser presentado al fondo verde del clima.  El proyecto consiste en la adecuación de centros educativos con estructuras climáticas, huertos, composteras, medición de variables hidrometereológicas que permitan a la comunidad estudiantil y circundante poder usar datos en la toma de decisiones locales y desarrollar medidas de adaptación y mitigación al cambio climático
3). convenio con Gobernación de Caldas 168 de 2020 el cual tiene como objeto “ Aunar esfuerzos entre el Departamento de Caldas y CORPOCALDAS para realizar acciones del Plan Integral de Gestión al Cambio Climático (PIGCC) para el departamento de Caldas y del nodo regional de cambio climático eje cafetero
4). Se realizó un análisis de acciones planteadas en los planes de desarrollo municipales y su articulación con el plan integral de gestión al cambio climático para el departamento de Caldas
Se realizaron 18 jornadas de monitoreo participativo de las medidas de adaptación y mitigación implementadas al Cambio Climático en las seis subregiones del departamento. Se Georeferenciaron los sitios en los que se localizan las experiencias en cada municipio (Villamaría, Manizales, Neira, Chinchiná, Viterbo, Anserma, Salamina, Aguadas,  Aranzazu y todos los municipios del oriente de Caldas.</t>
  </si>
  <si>
    <t xml:space="preserve">1) Implementación y seguimiento de acciones climáticas asociadas al PIGCC en los municipios del departamento de Caldas en el marco del convenio suscrito con la gobernacion de Caldas donde ademas se ejerce la secretaria del  nodo regional de cambio climático eje cafetero. Desde alli se establece un viviero en la Escuelas de Carabineros Alejandro Gutiérrez para adelantar el proceso de establecimiento de huertos comunitarios y jardín ornamental, se desarrollaron sesiones teórico-prácticas de temáticas como Huertas comunitarias, viveros, seguridad alimentaria y cambio climático.  De igual manera se Articulan acciones de cambio climático planteadas en los planes de desarrollo de los 27 municipios del departamento con el PIGCC en acompañamiento del Ministerio de Ambiente y Desarrollo Sostenible, Secretaría de Medio Ambiente de la Gobernación de Caldas, Corpocaldas, Procuraduría Ambiental y Agraria del departamento de Caldas.
2) convenio de asociación con Fenalco Caldas para la medición de la huella de carbono y desarrollo de una estrategia de compensación en el sector empresarial del municipio de Manizales. Alli se Realizara diagnóstico a 40 empresas donde se establezcan los parámetros para la medición de la Huella de Carbono, se planteará un plan de mejora por la certificación y se establecera una estrategia eficiente para el proceso de compensación de la huella de carbono en la cuenca del rio Chinchina. </t>
  </si>
  <si>
    <t>Se creó el proyecto: “Raíces – Tejiendo un futuro sostenible” que tiene por objeto implementar acciones de adaptación y mitigación al cambio climático establecidas en el PIGCC.
1) Apoyar la transición de dos Instituciones Educativas-IE hacia modelos de adaptación al Cambio Climático (escuelas bioclimáticas).  : I.E Hojas Anchas en el municipio de Supía y la I.E El Socorro en el municipio de Viterbo
2) tres huertos comunitarios que contribuyan a sensibilizar y a generar comportamientos sostenibles frente al uso y propagación de especies alimenticias, ornamentales y forestales 
3) tres mercados campesinos que fortalezcan la estrategia de seguridad alimentaria:   Intercambio de saberes culturales Riosucio, el municipio de Manzanares, y aguadas
4) estrategia integral de instalación y fortalecimiento de capacidades para la apropiación de los componentes del PIGCC.Se tiene estructurado el decreto de creación y adopción del Comité Técnico del Plan Integral de Gestión de Cambio Climático del departamento de Caldas, para adopción por parte de la Gobernación de Caldas.
5) Apalancar a través de capital semilla el desarrollo de proyectos
6) fortalecimiento del Nodo Regional de Cambio Climático Eje Cafetero
7) Articulación del PIGCC y el PGAR con los planes de desarrollo de los municipios del departamento de Caldas
8) Centros urbanos con acciones climáticas ejecutadas (acciones de adaptación y mitigación
9) Medición de huella de carbono para dos sectores económicos (minero-energético, construcción, servicios).40 empresas que participaron del proyecto, las cuales hacen parte del sector agrícola, agroindustrial y manufacturero del municipio de Manizales
10) Apoyo a la Estrategia Manizales en Clave ODS - Semana de Acción por el Desarrollo Sostenible.
11) Contrato con ICONTEC Medición de Huella de Carbono para Sectores Económicos Priorizados.</t>
  </si>
  <si>
    <t>1. Apoyo estructuración PIGCC Resguardo Cañamomo
 2. Articulación del PIGCC y el PGAR con los planes de desarrollo de los municipios del departamento de Caldas
 3. Corpocaldas y la Gobernación de Caldas fue el encuentro departamental con los representantes de los Consejos Municipales de Gestión del Riesgo en Manizales, en el cual participaron las administraciones de 22 municipios y entes locales. El objetivo de la jornada fue fortalecer la identificación de los escenarios de riesgo por fenómenos naturales presentes y futuros en nuestro territorio, como parte fundamental del conocimiento del riesgo, la planificación, el Ordenamiento Territorial.</t>
  </si>
  <si>
    <t xml:space="preserve">Mediante la actividad estrategia institucional para la  venta de servicios ambientales institucionales de mitigación y cambio climático CONPES 3242 - Diseño de portafolio de Finanzas climáticas, se realizó  curso de finanzas climáticas dirigido a 50 personas con representantes de la Corporación Autónoma regional de Caldas, departamento de Caldas, consejos de cuenca, red de jóvenes de ambiente, nodo regional de cambio climático eje cafetero, ONG, fondo del agua, universidades e instituciones privadas.
Se formulo el Plan Integral de Gestión al Cambio Climático-PIGCC.,  imprimió y distribuyó  material de agendas climáticas y plan integral de cambio climático para los 27 municipios del departamento, esto buscando empoderamiento por parte de las administraciones municipales. 
Mediante Convenio firmado entre Corpocalda, la Gobernación de Caldas y la Universidad Autonoma de Manizales se logró lo siguiente: 
-Implementar acciones para la articulación de los planes de desarrollo de los 27 municipios del departamento con el Plan Integral de Gestión del Cambio Climático-PIGCC del departamento de Caldas.  
- Apoyar la transición de dos Instituciones Educativas-IE hacia modelos de adaptación al Cambio Climático (escuelas bioclimáticas).
- Establecer tres huertos comunitarios que contribuyan a sensibilizar y a generar comportamientos sostenibles frente al uso y propagación de especies alimenticias, ornamentales y forestales como acción climática 
- Desarrollar tres mercados campesinos que fortalezcan la estrategia de seguridad alimentaria definida en el PIGCC que considere las relaciones campo -ciudad en términos de abastecimiento alimentario y generación de ingresos.
- Apalancar a través del plan semilla el desarrollo de proyectos de mitigación y adaptación propuestos en el plan de acción del nodo de cambio climático del eje cafetero
-Implementar una estrategia integral de instalación y fortalecimiento de capacidades para la apropiación de los componentes del PIGCC.
-Implementar una estrategia de comunicación que permita difundir el PIGCC y genere sensibilización y empoderamiento por parte de los actores.
A través de  convenio con Fenalco de Empresas que transforman su huella se desarrollaron las siguientes actividades: 
- Realizar diagnóstico a 40 empresas beneficiarias del municipio de Manizales.
- Establecer las métricas con las cuales se planteará un plan de mejora por la certificación cada una de las empresas del sector agrícola, agroindustrial y manufacturero de Manizales
- Establecer una estrategia eficiente para el proceso de compensación de la huella de carbono en el departamento de Caldas. 
A través de convenio con ICONTEC se está trabajando  en el fortalecimiento de la ruta de certificación de huella de carbono en empresas de sectores priorizados. 
A traves de convenio con el Resguardo Cañamomo se apoya la estructuración PIGCC 
Se identificó y documentó la articulación de los  planes de desarrollo de los municipios con las acciones de adaptación y mitagación al cambio climático enmaracadas en el PIGCC y el PGAR. 
Corpocaldas y la Gobernación de Caldas participaron en el encuentro departamental con los representantes de los Consejos Municipales de Gestión del Riesgo en Manizales, en el cual participaron las administraciones de 22 municipios y entes locales. El objetivo de la jornada fue fortalecer la identificación de los escenarios de riesgo por fenómenos naturales presentes y futuros en nuestro territorio, como parte fundamental del conocimiento del riesgo, la planificación, el Ordenamiento Territorial."			
			</t>
  </si>
  <si>
    <t>Programas socio - ambientales para la gestión del riesgo consolidados</t>
  </si>
  <si>
    <t>1). Proyecto forestal rio Magdalena (KFW),
2). Guardianas de Cameguadua:  la Administración Municipal viene trabajando desde el año 2010, conjuntamente con la Central Hidroeléctrica de Caldas S.A E.S.P (CHEC) y La Corporación Autónoma Regional de Caldas (CORPOCALDAS)
3). Programa Guardianas de humedales:  conservación de las Fajas Forestales Protectoras de los cuerpos hídricos de la zona urbana del municipio de La Dorada</t>
  </si>
  <si>
    <r>
      <rPr>
        <sz val="8"/>
        <color rgb="FF000000"/>
        <rFont val="Arial"/>
      </rPr>
      <t>4 Programas socio - ambientales para la gestión del riesgo consolidados
1). Proyecto forestal río Magdalena (KFW):  con el Comité Departamental de Cafeteros de Caldas para el
desarrollo de la cadena forestal productiva – actividades forestales y agroforestales con agricultores y contribución a la dinámica hidrológica de microcuencas en los municipios de Pensilvania, Manzanares, Marquetalia, Samaná, Aguadas, Pácora, Salamina, La Merced, Filadelfia, Aránzazu y Neira. 2350 visitas de aprestamiento comunitario como 17 talleres para beneficio directo de por lo menos 425 familias.
2) programa Guardianas de río - municipio Chinchiná:  con el municipio de Chinchina y CHEC se desarrollan acciones para el manejo adecuado de la Quebrada Cameguadua en un tramo aproximado de 2 km en la zona sur de su casco urbano, lo cual la hace altamente susceptible a que se presenten conflictos ambientales asociados al vertimiento de aguas residuales, deforestación y disposición de residuos sólidos y escombros entre otros. 
3). Curso de brigadistas forestales:  en el marco del Plan de prevención, Mitigación y Contingencias
para Incendios Forestales del Departamento de Caldas, se realizaron tres Cursos de Brigadistas Forestales (Samaná - Belalcázar y Riosucio)
4) Programa guardianas de humedales:  manejo y conservación de las Fajas Forestales Protectoras de
los cuerpos hídricos de la zona urbana del municipio de La Dorada”. Con este convenio se tuvo la vinculación de 10
guardianes, con los cuales se logró la extracción de 39.908 kg de residuos sólidos de los humedales El Paraíso, Humedal Victoria Real, Humedal Las Ferias (Sector Escuela Juan Pablo II, Sector pan Coger), Humedal escombrera, Humedal San Javier, entre otros.</t>
    </r>
  </si>
  <si>
    <t xml:space="preserve">1.  Proyecto forestal río Magdalena (KFW):  Fortalecimiento para el desarrollo de la cadena forestal productiva – actividades forestales y agroforestales con agricultores y contribución a la dinámica hidrológica de microcuencas en los municipios de Pensilvania, Manzanares, Marquetalia, Samaná, Aguadas, Pácora, Salamina, La Merced, Filadelfia, Aranzazu y Neira
2.  Implementación Programa Guardianas de humedales
3.  Programa Mujeres cafeteras
4. Implementación Programa Guardianas de Río - municipio de Chinchiná
5. Curso de Brigadistas Forestales (CBF)
6. Estrategia Socioambiental para la Gestión del Riesgo </t>
  </si>
  <si>
    <t>1. Apoyar la gestión y el acompañamiento del Nodo Regional de Cambio Climático Eje Cafetero
 2. Contrato ICONTEC: se certificaron como auditores en medición de huella de carbono a 9 participantes. 
 3. Proyecto Forestal Río Magdalena (KFW) - Mujeres cafeteras
 4. Implementación Programa Guardianas de Humedales
 5. Implementación Programa Guardianas de Río - Municipio Chinchiná
 6. Grupos locales del clima: Pensilvania, La Dorada, Samaná, Filadelfia, Aránzazu y Viterbo.</t>
  </si>
  <si>
    <t xml:space="preserve">1. PROYECTO FORESTAL RÍO MAGDALENA (KFW) En conjunto con La  Federación Nacional de Cafeteros - Comité departamental de Cafeteros,  se logró  Brindar asistencia técnica del proyecto: Fortalecimiento para el desarrollo de la cadena forestal productiva – actividades forestales y agroforestales con agricultores y contribución a la dinámica hidrológica de microcuencas en los municipios de Pensilvania, Manzanares, Marquetalia, Samaná, Aguadas, Pácora, Salamina, La Merced, Filadelfia, Aranzazu y Neira”. El mejoramiento ambiental a través del programa de reforestación con agricultores cafeteros se manifiesta en el corto plazo con la ocupación de mano de obra y a largo plazo con la posibilidad de regulación hídrica por las plantaciones y la obtención de productos cuya cosecha produce dividendos monetarios como producto de la diversificación de usos de los predios.
 2. IMPLEMENTACIÓN PROGRAMA GUARDIANAS DE HUMEDALES,   se realizaron  actividades de limpieza y extracción de material vegetal y residuos sólidos, en las fajas de retiro de los humedales El Paraíso, Humedal Victoria Real, Humedal Las Ferias (Sector Escuela Juan Pablo II, Sector pan Coger), Humedal escombrera, Humedal San Javier, entre otros del municipio de la Dorada 
3. PROGRAMA MUJERES CAFETERAS: A través de los  convenios interadministrativos con la Federación Nacional de Cafeteros, se desarrollaron  las siguientes actividades:
-	91 visitas de seguimiento a la producción de material vegetal de especies nativas (incluye visita de asistencia técnica por vivero) 
-	diagnósticos participativos,  visitas de asistencia técnica en vivero (etapa productiva),  verificaciones de mantenimiento de siembras anteriores y  visitas para georreferenciar las zonas de siembras de los árboles. 
-	Entrega a las caficultoras de los incentivos por las labores de establecimiento y producción de las especies de árboles nativos. En total, fueron 15 beneficiados 
4. IMPLEMENTACIÓN PROGRAMA GUARDIANAS DE RÍO - MUNICIPIO CHINCHINÁ: a través de  convenios interadministrativos con la CHEC y el municipio de Chinchiná, se  implementó el programa guardianas de la Quebrada Cameguadua y afluentes aledaños y Guardianas de la Ladera en sitios críticos del municipio, como estrategia participativa para la prevención del riesgo de desastres, recuperación ambiental y mejoramiento del entorno de las zonas aledañas a la quebrada, al embalse Cameguadua y laderas, en la zona urbana del municipio de Chinchiná, en el cual  se ha realizado Capacitaciones para las Guardianas, Capacitaciones con Líderes Comunitarios del Sector, Dotación de herramientas y uniformes a las Guardianas, Limpieza de la Quebrada Cameguadua,  avanzado en el mantenimiento de Áreas con Tratamiento Geotécnico (ATG) existentes en los sectores: Urbanización María Auxiliadora, sector Aguacatal, talud Túnel.
5. CURSO DE BRIGADISTAS FORESTALES: Como parte de las actividades del Plan de Prevención Mitigación y Contingencias de Incendios Forestales del Departamento de Caldas, actualizado para el año 2021, Corpocaldas viene realizando diferentes actividades relacionadas con la prevención de incendios forestales, entre ellas capacitaciones a los cuerpos de bomberos, técnicos de Corporaldas en los municipios y funcionarios de las alcaldías de los  municipios de Samaná, Norcasia, Belalcázar, Riosucio y organizaciones e instituciones como la Guardia Indígena de Riosucio, el  Batallón Ayacucho, Isagen, Camposol, entre otros 
6. ESTRATEGIA SOCIOAMBIENTAL PARA LA GESTION DEL RIESGO: Con el acompañamiento de funcionarios, se dio inicio al proceso de reactivación de la estrategia de Grupos Locales del Clima, realizando  mantenimiento a las estaciones hidroclimatológicas instaladas y convocando para la reconformación de los grupos de trabajo.  Asimismo la Corporación participó activamente en la estrategia denominada “Cambio Climático: acciones por la vida Caldas 2023”, liderada por el Banco de la República y la Universidad de Manizales, con base en compromisos asumidos con la firma de la alianza interinstitucional en noviembre de 2022, a la cual se sumaron activamente la Gobernación, CHEC, Aguas de Manizales, EFIGAS, la Universidad de Caldas y la alcaldía de Manizales, entre otros. 			</t>
  </si>
  <si>
    <t>Análisis de los efectos de la variabilidad y el cambio climático en el departamento, generando insumos para la toma de decisiones</t>
  </si>
  <si>
    <t>Análisis anuales de los efectos de la variabilidad y el cambio climático en el departamento de Caldas</t>
  </si>
  <si>
    <t xml:space="preserve">se suscribe el convenio 224 de 2020 que busca establecer el efecto del cambio climático sobre la salud caldense </t>
  </si>
  <si>
    <t xml:space="preserve">Se finalizó estudio con la Universidad Autónoma de Manizales para avanzar en la comprensión de los posibles efectos del cambio climático en la salud ambiental.  El cual indico que los eventos en salud ambiental tienen relación con las variables y factores climáticos que influyen en la carga de enfermedades respiratorias crónicas, enfermedades trasmitidas por vectores, enfermedades intestinales y diferentes tipos de cáncer. En este sentido es necesario realizar estudios sobre carga ambiental de la enfermedad y costos en salud de los eventos priorizados relacionados con el agua, el aire, el saneamiento básico, la seguridad química, el riesgo biológico y tecnológico, con estrategias de intervención en el ámbito territorial. </t>
  </si>
  <si>
    <t>Formulación proyecto: “Gestión integral de áreas abastecedoras de acueductos en escenarios de variabilidad y cambio climático para la provisión sostenible de los servicios ecosistémicos asociados a recurso hídrico” - ECOVERSA
Ábacos priorizados: 66 Ábacos que alcanzan 7,663.82 ha. Representan el 67% de la población del departamento.
Municipios 11: Aránzazu, Belalcázar, La Dorada, Manizales, Marquetalia, Marulanda, Neira, Pensilvania, San José, Victoria y Villamaría.</t>
  </si>
  <si>
    <t>Linea Estratégica  Gobernanza Ambiental</t>
  </si>
  <si>
    <t>PROGRAMA GESTIÓN INTEGRAL DEL RECURSO HÍDRICO</t>
  </si>
  <si>
    <t>Objetivo 6: Garantizar la disponibilidad de agua y su gestión sostenible y el saneamiento para todos</t>
  </si>
  <si>
    <t>SUBPROGRAMA IV GESTIÓN INTEGRAL DEL RECURSO HIDRICO</t>
  </si>
  <si>
    <t xml:space="preserve">Proyecto 9: Gobernanza del Agua </t>
  </si>
  <si>
    <t>Plataformas colaborativas conformadas para la articulación de las inversiones y acciones públicas y privadas alrededor de las cuencas hidrográficas</t>
  </si>
  <si>
    <t>Plataformas conformadas y operando</t>
  </si>
  <si>
    <t>Plataforma</t>
  </si>
  <si>
    <t xml:space="preserve">Vivovuenca, es el primer fondo de agua creado en el Eje Cafetero y el primero en todo el país en lograr la incorporación de recursos de carácter público a largo plazo, el cual avanza sobre tres líneas de acción: Estructura ecológica principal para la provisión de servicios ecosistémicos; Compromiso ciudadano e institucional con la sostenibilidad del territorio; y sostenibilidad de la iniciativa. </t>
  </si>
  <si>
    <r>
      <rPr>
        <sz val="8"/>
        <color rgb="FF000000"/>
        <rFont val="Arial"/>
      </rPr>
      <t xml:space="preserve">2 Plataformas conformadas y operando.
1) vivocuenca
- acuerdos en 21 predios, cuyas áreas a liberar ascienden a 430,5 hectáreas que pasarán de un uso de producción a uso de conservación y que se suman a las 229 incorporadas el año anterior, todas serán objeto de pago de incentivo económico en dinero a partir del año 2022 y hasta el 2026.
- desarrollo de alternativas de produccion sostenible: Apicultura de conservación, Café de conservación, Turismo
de Naturaleza, Agricultura Ecológica y Ganadería Sostenible.
- Recuperación y Manejo de Procesos Erosivos Sector Sabinas
2) Fondo departamental del agua:  INFICALDAS - GOBERNACION DE CALDAS - CORPOCALDAS. 
Dos lineas estrategicas desarrolladas:  
1. Acción por la sostenibilidad ambiental territorial:  adquisicion de adquisición de 2 áreas en el municipio de Marulanda en los predios El Jordán y La Sirena por 154 ha para realizar proceso de establecimiento de bosque protector.  convenios con los municipios de Viterbo, Pensilvania, Victoria, Samaná, Marquetalia, Norcasia, Manzanares, Aguadas, Marulanda, Salamina, La Merced, Filadelfia, Pácora, Aranzazu, San José, Belalcázar, Marmato, Riosucio, Risaralda y Supía para Establecimiento y mantenimiento de las áreas adquiridas para microcuencas abastecedoras. 
2.  Seguridad Hídrica: Adaptación y Mitigación al Cambio Climático:  convenios con los municipios para el establecimiento de estufas ecoeficientes y bosques leñeros </t>
    </r>
  </si>
  <si>
    <t xml:space="preserve">1.  VIVOCUENCA:  
Programa 1. Estructura Ecológica para la provisión de servicios ecosistémicos y adaptación al cambio y la variabilidad climática.  205 Ha intervenidas en Pago por servicios ambientales, Ganadería Sostenible (Silvopastoriles) y Paisajes Sostenibles.
Programa 2. Compromiso Ciudadano e Institucional con las Sostenibilidad del Territorio.  
Programa 3. Sostenibilidad de la Iniciativa
2.  Fondo del agua departamental y Proyecto Sembrar Agua.
3.  En constitucion fondo del agua del oriente de caldas </t>
  </si>
  <si>
    <t>Vivocuenca: Corpocaldas - CHEC -Aguas de Manizales -EMAS - Efigas - American Bird Conservancy - Audubon - Alianza Biocuenca –Bavaria.
 a) Gestión de la Estructura Ecológica para la provisión de servicios ecosistémicos y adaptación y mitigación al cambio climático
 b) Compromiso ciudadano e institucional con la sostenibilidad del territorio 
 c) Sostenibilidad de la Iniciativa</t>
  </si>
  <si>
    <t xml:space="preserve">Durante el cuatrienio, las dos plataformas conformadas y operando fueron el fondo del agua Vivocuenca y Alianza Caldense por el Agua.
Vivocuenca avanzó en sus tres líneas de acción: 
1.	GESTIÓN DE LA ESTRUCTURA ECOLÓGICA PARA LA PROVISIÓN DE SERVICIOS ECOSISTÉMICOS Y ADAPTACIÓN Y MITIGACIÓN AL CAMBIO Y LA VARIABILIDAD CLIMÁTICA: 
•	Áreas de la cuenca con acción de conservación y Reconversión a Uso Sostenible con más de 113,01 ha 
•	270 ha con acciones de conservación 
•	Fortalecimiento de 16 viveros institucionales y comunitarios, asi como el Fortalecimiento de Red de Viveros
•	Producción de 91.408 plántulas 
•	Sistemas de Producción sostenibles: se cuenta con  actividades de Apicultura de conservación, turismo de naturaleza, actividades de formación, proyecto Caldas agroecológico y gestión de áreas protegidas.
2.	COMPROMISO CIUDADANO E INSTITUCIONAL CON LA SOSTENIBILIDAD DEL TERRITORIO
con el Fortalecimiento Instancias de Participación para la Incidencia en Política Pública mediante el Apoyo Consejo de Cuenca Rio Chinchiná, Generación de Capacidades y Compromiso en la Ciudadanía.
3.	SOSTENIBILIDAD DE LA INICIATIVA
mediante la gestión realizada con las entidades que hacen parte de la Corporación Vivocuenca y la generación de alianzas y convenios con otros actores se acompañan proyectos como Empresas que Transforman su Huella, con Fenalco, Convenio Proyecto MiParamo, con la Fundación Alianza Biocuenca, Acuerdo de voluntades para trabajo colaborativo entre el centro para la formación cafetera regional caldas.
Alianza Caldense por el Agua. 
A través del convenio marco de cooperación interinstitucional entre la Corporación Autónoma Regional de Caldas - Corpocaldas, El instituto de Financiamiento, Promoción y Desarrollo de Caldas - Inficaldas y el Departamento de Caldas, se consolidó información relevante frente a las acciones realizadas por las instituciones.
Desde Corpocaldas, se establecieron convenios con diferentes entidades territoriales para la Gestión Integral de Microcuencas Abastecedoras de Acueductos y Áreas de Interés Ambiental, definición de acciones de intervención a nivel predial (establecimiento de cerca, bosque protector, estufas ecoeficientes, entre otros), establecimiento y mantenimiento de las áreas, asistencia técnica y verificación de mantenimiento. </t>
  </si>
  <si>
    <t>Realizar caracterizaciones biofísicas en áreas abastecedoras de comunidades indígenas.</t>
  </si>
  <si>
    <t>ABACOS con caracterización biofísica, social y económica en territorios indígenas</t>
  </si>
  <si>
    <t>Bajo el marco del convenio 274 de 2020, establecido con ACICAL, se planificó y avanza hacia la caracterización de: 
• dos microcuencas asociadas a territorios de presencia y/o incidencia de la Parcialidad Indígena El Palmar, que abastecen actual/potencialmente la comunidad. 
• cinco microcuencas abastecedoras de acueductos ligadas a las comunidades indígenas de Cartama, Ansea, Totumal, La Trina y Albania.</t>
  </si>
  <si>
    <t>Se avanza en la caracterización y formulación de planes de acción para 5 microcuencas abastecedoras priorizadas en los resguardos de Totumal y La Albania y las Parcialidades de Ansea, Cartama y La Trina; así mismo en la
caracterización de 2 microcuencas de interés como fuentes abastecedoras (Actual y Potencial) de agua para la comunidad El Palmar, en el marco del cumplimiento de los acuerdos de consulta previa del río Tapias.</t>
  </si>
  <si>
    <t>Se suscribió el convenio con ACICAL  para implementar acciones que promuevan el uso sostenible de la biodiversidad y sus servicios ecosistémicos, la sensibilización y educación ambiental y el desarrollo sostenible, con comunidades indígenas del departamento de Caldas, en el marco de los acuerdos de consulta previa, la agenda ambiental con pueblos indígenas de Caldas y el relacionamiento, cuidado y protección de la Madre Tierra” dentro del alcance del convenio esta elaboración del Diagnóstico y verificación primaria del recurso hídrico en las comunidades del Resguardo, en el Resguardo Escopetera Pirza , Riosucio, Caldas.</t>
  </si>
  <si>
    <t>Plan de Accion abaco Rio Oro: en coordinacion con la Secretaría de Medio Ambiente de la Gobernación de Caldas, la Procuradora Agraria y Ambiental, Empocaldas y los municipios de Risaralda, San José, Belalcázar, Anserma, Riosucio, grupos ambientalistas y Autoridades del Resguardo de La Montaña, se viene trabajando en la construcción, en atención a las denuncias realizadas por el resguardo de la Montaña, por la constante deforestación, destrucción de humedales, apertura de vías sin licencias, desplazamiento de población y de fauna silvestre, disminución de los caudales hídricos, captaciones de agua sin concesiones</t>
  </si>
  <si>
    <t>Se relizaron acciones encaminadas a mejorar los abastos comunitarios como describe a continuación:  
•	En convenio con ACICAL, se planificó y se avanza en la caracterización y formulación de planes de acción para 5 microcuencas abastecedoras priorizadas en los resguardos Totumal y La Albania y las Parcialidades Ansea, Cartama y La Trina; así mismo en la caracterización de 2 microcuencas de interés como fuentes abastecedoras (Actual - Potencial) de agua para la comunidad El Palmar, en el marco del cumplimiento de los acuerdos de consulta previa del río Tapias. 
•	Se firma acuerdo  con el resguardo de La Montaña con respecto de los tramites ambientales de concesiones de aguas y permisos de vertimientos de acuerdo con las mesas de concertación y dialogo realizadas para tal fin. 
•	Implementación de acciones que promueven el uso sostenible de la biodiversidad y sus servicios ecosistémicos, la sensibilización y educación ambiental y el desarrollo sostenible, en el marco de los acuerdos de consulta previa, la agenda ambiental con pueblos indígenas de Caldas y el relacionamiento, cuidado y protección de la Madre Tierra”, dentro del alcance del convenio esta la elaboración del diagnóstico y verificación primaria del recurso hídrico en las comunidades del Resguardo Escopetera Pirza. 
•	Plan de Acción ábaco Rio Oro, en coordinacion con la Secretaría de Medio Ambiente de la Gobernación de Caldas, la Procuradora Agraria y Ambiental, Empocaldas y los municipios de Risaralda, San José, Belalcázar, Anserma, Riosucio, grupos ambientalistas y Autoridades del Resguardo de La Montaña, se viene trabajando en la atención a las denuncias realizadas por el resguardo de la Montaña, por la constante deforestación, destrucción de humedales, apertura de vías sin licencias, desplazamiento de población y de fauna silvestre, disminución de los caudales hídricos y captaciones de aguas sin concesiones.</t>
  </si>
  <si>
    <t>Instrumentos priorizados de administración y planificación del recurso hídrico formulados, actualizados, acompañados y adoptados</t>
  </si>
  <si>
    <t>1). Actualización de PORH Marmato:  se avanza en la fase de Consulta previa y actualizacion de informacion tecnica.
2) Formular POMCA Opirama y otros directos al Cauca:  se suscribe convenio con CARDER para adelantar las fases de aprestamiento y gestion de riesgo.
3). POMCA río Tapias y otros directos al cauca:  Mediante Resolución 0644 del 28 de abril de 2021 se aprueba el POMCA del río Tapias y Otros Directos al Cauca.</t>
  </si>
  <si>
    <t>1. Acotamiento de rondas hídricas Río Pensilvania, Quebrada Cauya y Quebrada del Guamo.  El  proceso de acotamiento se desarrolla en dos fases:
FASE 1:  Levantamiento topográfico con tecnología lidar, orthofoto y cartografía base.  FASE 2:  Delimitación de los componentes geomorfológico, hidrológico y ecosistémico de la ronda hídrica del río Pensilvania y quebradas el guamo y Cauyá
2.  avances en la validación y verificación de información relacionada con la instalación de pozos sépticos en la zona rural de Manizales, en el periodo comprendido entre el año 2017 y 2022 la cual asciende aproximadamente 246 pozos sépticos por parte de las entidades Aguas de Manizales, Corpocaldas y Alcaldía de Manizales y 5 unidades en entidades educativas. 
3. Formulación de PORH Río Pensilvania. contrato  con la Universidad Tecnológica de Pereira, el cual tiene como fin generar insumos técnicos para la formulación y adopción 
4.  Actualizar planes de manejo de humedales Valle del Magdalena y Rios Risaralda.  con Biota Consulting Grup S.A.S, el cual está dirigido a la actualización de los Planes de Manejo de los Humedales del Caldas.  En el valle del río Risaralda se caracterizó un total de 39 humedales tanto naturales como artificiales 
5. Planes de acción de las Microcuencas:  con la Fundación Aldea Global, se formularon 5 planes de acción en 5 abacos para consumo humano, (Riosucio, Supía, Neira, Palestina y Villamaría). Dichos planes están aún en revisión y los resultados presentados y ajustados con la comunidad, pero constituyen una vez ajustados,  la herramienta para definir acciones tanto comunitarias como del estado para su protección y manejo
6. Formulación del POMCA del Rio Opirama y otros Directos al Cauca:  esta  actividad se retira de los planes de acción de las Corporaciones que integran la comisión conjunta Corpocaldas y CARDER al no ser posible ejecutar las actividades plantadas en el plazo definido</t>
  </si>
  <si>
    <t>1. Se avanza en el Acotamiento de rondas hídricas de acuerdo con el orden de prioridades de la Resolución 1741 de 2020 de CORPOCALDAS: río Pensilvania, Quebrada Cauyá y Quebrada del Guamo
 2. avance en la adopción del PORH quebrada Aguas Claras -río Marmato, considerando la Certificación Nº 190 de marzo 14 de 2018, emitida por el Ministerio del Interior donde certifica la presencia de la comunidad indígena Cartama en esta zona, la Corporación inició el proceso consultivo con la etapa de Coordinación y Preparación a través de reunión virtual realizada con el Ministerio del Interior el día 9 de junio de 2022.
 3. Planes de accion microcuencas abastecedoras: con la Fundación Aldea Global, se formularon 5 planes de acción en 5 Ábacos: 1- Amolador en Riosucio, 2 - Quebrada Grande en Supía, 3 - El sencillo-Cestillal en Neira, 4 - Bolivia-Marruecos en Palestina y 5 - Chupaderos–Chupaderitos en Villamaría.</t>
  </si>
  <si>
    <t xml:space="preserve">"Para la vigencia 2020-2023, los instrumentos priorizados de administración y planificación del recurso hídrico formulados, actualizados, acompañados y adoptados fueron los siguientes: 
1) Se formuló el POMCA Opirama y otros directos al Cauca,  con la CARDER, pero se retiró de los planes de acción de las Corporaciones que integran la comisión conjunta Corpocaldas y CARDER al no ser posible ejecutar las actividades de inicio de consulta previa planteadas en el plazo definido 
2) Actualización PORH Quebrada Aguas Claras - Río Marmato: considerando la Certificación Nº 190 de marzo 14 de 2018, emitida por el Ministerio del Interior donde certifica la presencia de la comunidad indígena Cartama en esta zona, la Corporación inició el proceso consultivo con el Ministerio del Interior y la comunidad indígena el día 9 de junio de 2022.
3) POMCA río Tapias y otros directos al cauca:  Mediante Resolución 0644 del 28 de abril de 2021 se aprueba el POMCA del río Tapias y Otros Directos al Cauca 
4) POMCA Campoalegre y Otros Directos al Cauca:  Mediante Resolución 2023-0021 del 11 de enero de 2023 (CORPOCALDAS) y Resolución A-0946 del 27 de diciembre de 2022 (CARDER), se aprueba el POMCA del río Campoalegre y Otros Directos al Cauca. Proceso liderado por Corpocaldas.
5) Acotamiento de rondas hídricas Río Pensilvania, Quebrada Cauya y Quebrada del Guamo.  El  proceso de acotamiento se desarrolla en dos fases: FASE 1: Levantamiento topográfico con tecnología lidar, orthofoto y cartografía base.  FASE 2: Delimitación de los componentes geomorfológico, hidrológico y ecosistémico de la ronda hídrica del río Pensilvania y quebradas el guamo y Cauyá.
6)Planes de acción microcuencas abastecedoras: con la Fundación Aldea Global, se formularon 5 planes de acción en 5 Ábacos: 1- Amolador en Riosucio, 2 - Quebrada Grande en Supía, 3 - El sencillo-Cestillal en Neira, 4 - Bolivia-Marruecos en Palestina y 5 - Chupaderos–Chupaderitos en Villamaría. 
7) Avances en la validación y verificación de información relacionada con la instalación de pozos sépticos en la zona rural de Manizales, en el periodo comprendido entre el año 2017 y 2022 la cual asciende aproximadamente 246 pozos sépticos por parte de las entidades Aguas de Manizales, Corpocaldas y Alcaldía de Manizales y 5 unidades en entidades educativas. 
8) Formulación de PORH Río Pensilvania. Mediante Contrato  con la Universidad Tecnológica de Pereira, el cual tuvo como fin generar insumos técnicos para la formulación y adopción del PORH.
9) Actualización planes de manejo de humedales Valle del Magdalena y Río Risaralda.  A través del contrato con Biota Consulting Grup S.A.S, el cual estuvo dirigido a la actualización de los Planes de Manejo de los Humedales del Caldas.  En el valle del río Risaralda se caracterizó un total de 39 humedales tanto naturales como artificiales.		
			</t>
  </si>
  <si>
    <t xml:space="preserve">Fortalecimiento de  programas y estrategias de educación ambiental en los POMCAS </t>
  </si>
  <si>
    <t>POMCAS ejecutando programas o estrategias de educación ambiental</t>
  </si>
  <si>
    <t>1) A través de la Escuela de Liderazgo Ambiental, liderada por Corpocaldas y el PDPMC, se formularon 8 PROCEDA en el oriente de Caldas para actividades relacionadas con la Gobernanza Ambiental, el ejercicio  finalizó su ejecución en el 2020 y se inició un proceso de gestión para su posible financiamiento y ejecución.
2). municipio de Pensilvania:  proyecto “Escuchando y Aprendiendo Juntos, por el Cuidado del Medio Ambiente”,  a través del Convenio 119-2020.</t>
  </si>
  <si>
    <t>En convenio con la Universidad Autonoma de Manizales, Se apoyan y fortalecen PROCEDAS propuestos en el marco del componente programatico de los POMCAS asi:  Chinchiná - Campoalegre - Tapias - Guarinó - Samaná Sur - La Miel - Risaralda - Arma.</t>
  </si>
  <si>
    <t xml:space="preserve">1.  Cuenca Río Campoalegre: El Proyecto de Guacamayo en su fase de consolidación oriento su esfuerzo a dinamizar actividades al turismo de naturaleza estableciendo de tres rutas o senderes de con enfoque ecoturístico.
2.  Proceda cuenca del río Campoalegre “74 pasos” Comunidad indígena Ambacheque
3.  En el PROCEDA de Cuenca Río Tapias, Formación de 40 gestores lúdico-ambientales - Elaboración y entrega de nuevos Kits con el juego Exploremos nuestra cuenca
4.  PROCEDA Río Tapias y Otros directos al Cauca - Protección del mono aullador en Neira Caldas
5.  PROCEDA Cuenca río Risaralda municipio de Anserma denominado Ecoiversión cuyo objetivo es: “Desarrollar acciones pedagógicas que permitan llevar a cabo el proceso de reciclaje con niños, niñas y adolescentes con discapacidad de la Fundación SERES  Proyecto “Kawsay”
6.  PROCEDA Cuenca Rio Chinchiná: Proceso de participación para la Gobernanza ambiental - Proyecto Siembra Vida. de recuperación de zonas verdes en la comuna ciudadela del norte para embellecer los espacios, contribuir con el medio ambiente y sensibilizar a la comunidad.de recuperación de zonas verdes en la comuna ciudadela del norte para embellecer los espacios, contribuir con el medio ambiente y sensibilizar a la comunidad.
7.  PROCEDA Cuenca Arma Se registra una baja participación de actores en el Consejo de Cuenca . Prácticamente el 90 % está en territorio Antioqueño. Por esta razón se produjo una cartilla para motivar la participación de los actores sociales e institucionales en las zonas que hacen parte de la Cuenca del Río Arma jurisdicción de Corpocaldas
8.  PROCEDAS Cuencas de Oriente: Creación del grupo “célula ambiental     
9.  Escuela de liderazgo ambiental el ELAgua III Cohorte con líderes ambientales. (30 consejeros de cuenca).  </t>
  </si>
  <si>
    <t>Para el cumplimiento de la meta del cuatrienio, Se ejecutaron acciones como:
•	Se promovió un trabajo conjunto con la Gobernación de Caldas, a través de la UDGR y la UNGR, a fin de avanzar hacia el establecimiento de un Plan de Gestión del Riesgo Embera, que involucre la visión y los saberes propios de las comunidades indígenas, en relación con la gestión de riesgos, también se implementó una obra de reducción de riesgos ambientales, basada en ecosistemas y/o en las dinámicas de la naturaleza, sobre un sitio priorizado en áreas de interés de las comunidades indígenas del departamento
•	En el marco del convenio realizado con la Universidad Autónoma de Manizales, se desarrolló la estrategia de educación ambiental PROCEDA,  con el cual se alcanzó la unión de esfuerzos entre los actores sociales que hacen parte de los Consejos de Cuenca, algunas administraciones municipales como las de Filadelfia y Victoria y la integración de otros actores como el Plan Departamental de Aguas PDA en Filadelfia, dichos PROCEDA se llevaron a cabo en la Cueca del Rio Tapias, Chinchiná, Campoalegre, Guarino, Samaná Sur, La Miel, Risaralda y Arma.
•	En la Feria “Cuenca visible", se llevó a cabo una jornada Ambiental Virtual, en donde los actores de cuenca  compartieron sus experiencias en la implementación de PROCEDAS en sus territorios. 
•	Mediante el convenio con el programa para la paz del Magdalena Centro para la ejecución del PAI de las cuencas La Miel, Guarino, y Samaná Sur,  se elaboraron 9 PROCEDAS.
•	En asociación con la Universidad Autónoma  se les extendió la invitación a los consejeros de cuenca el Diplomado de ""Gobernanza del Agua"" y el “Proceso Educativo de Comunicación Asertiva”.</t>
  </si>
  <si>
    <t>Objetivo 4: Garantizar una educación inclusiva, equitativa y de calidad y promover oportunidades de aprendizaje durante toda la vida para todos</t>
  </si>
  <si>
    <t>Conformación de los Consejos de Cuenca</t>
  </si>
  <si>
    <t>Consejos de cuenca conformados</t>
  </si>
  <si>
    <t>reconformación de los Consejos de Cuenca de: 
1)Tapias y otros directos al Cauca
2) Risaralda 
3) Guarinó
4)Samana Sur 
5) Miel 
6) Chinchina</t>
  </si>
  <si>
    <t>Consejo de Cuenca Río Chinchiná Será reconformado en febrero de 2022
Consejo Cuenca Risaralda 8 de octubre de 2020
Consejo Cuenca Tapias y otros directos al Cauca - Diciembre 09 de 2020
Cuenca del Río Samaná Sur 17 de marzo de 2021
Cuenca la Miel 17 de marzo de 2021
Consejo de Cuenca del Rio Arma 12 de enero de 2021
Consejos de Cuenca Rio Campoalegre 31 de enero 2020
Consejos de Cuenca Rio Guarino 10 de diciembre de 2020</t>
  </si>
  <si>
    <t>1.  Reconformación del Consejo de Cuenca del rio Chinchiná
2. Reconformación del Consejo de Cuenca del rio Campoalegre
3. Instalación del Consejo de Cuenca del río Campoalegre
4.  Construcción del Plan de acción del Consejo de Cuenca del rio Tapias y otros directos al Cauca
5.  Guarino
6.  Miel 
7.  Samana Sur 
8.  opirama</t>
  </si>
  <si>
    <t>Se conformaron y reconformaron ocho (8) consejos de cuenca entre los que se destacan: Chinchina, Risaralda,  Campoalegre,  Tapias  y Otros directos al Cauca, Samaná Sur, Arma,  Miel y Guarino, acogiendo en este proceso, los  lineamientos de la Resolución número 0509 de 2013 del Ministerio de ambiente y Desarrollo  Sostenible, referida  a  la conformación de los Consejos de Cuenca, su participación en las fases del Plan de Ordenación de la Cuenca y otras disposiciones. 
Algunos de los consejos de cuenca, se apoyaron  a partir de la conformación de comisiones conjuntas con  autoridades ambientales vecinas con quienes se comparten algunas cuencas hidrográficas. El consejo de cuenca del rio Risaralda es apoyado por Carder y Corpocaldas, el consejo de cuenca del rio Guarino entre Cortolima- Corpocaldas  y el consejo  del rio Arma  entre  Cornare, Corantioquia y Corpocaldas. 
Para contribuir al fortalecimiento del plan de acción definidos  por  los consejeros de los ocho (8) consejos de cuenca,  se firmaron  varios convenios de asociación con la Universidad Autónoma de Manizales a partir de  los  cuales  se  fortalecieron capacidades y se optimizaron  los componentes de capacitación, participación, resolución de conflictos y comunicación. Adicionalmente, se ejecutó el contrato con la ONG Fractal, a  fin de  generar  nuevos retos  frente  a  la incidencia y gobernanza ambiental que deben  tener  los consejos de cuenca en el departamento  de Caldas.</t>
  </si>
  <si>
    <t>Empoderamiento de los Consejos de Cuenca POMCA</t>
  </si>
  <si>
    <t>Consejos de cuenca ejecutando estrategias de acompañamiento, divulgación, sensibilización y visiibilización de los POMCA</t>
  </si>
  <si>
    <t>Se realizó acompañamiento a  los consejos de cuenca del departamento mediante diferentes estrategias y actividades de fortalecimiento e incidencia en la gestión ambiental con énfasis en la Gobernanza del agua.</t>
  </si>
  <si>
    <t>Ejecución de 24 jornadas de capacitación en las temáticas relacionadas con los componentes programáticos de los POMCA de los Consejos de cuenca de los ríos Risaralda, Campoalegre, Guarinó, Miel, Arma y Samaná Sur.
Diseño y ejecución del diplomado virtual en temas relacionados con los POMCA, gobernanza del agua y PROCEDA</t>
  </si>
  <si>
    <t>1. Diplomado virtual y presencial para la Gobernanza ambiental y seguimiento a los POMCAS 
2. Jornadas ambientales por cuenca
3. Encuentros de Consejos de Cuenca</t>
  </si>
  <si>
    <t>Jornadas ambientales por cuenca y recorridos de Cuenca</t>
  </si>
  <si>
    <t>Se ejecutaron 4 jornadas de capacitación en las temáticas relacionadas con los componentes programáticos de los POMCA de los Consejos de cuenca de los ríos Risaralda, Campoalegre, Guarinó, Miel, Arma y Samaná Sur (24 en total). 
Se realizaron 14 sesiones del diplomado Gobernanza del agua “Juntos por la Cuenca” orientado en convenio con la UAM en el que participaron 170 personas de 7 países, donde se contó con la representación de 20 consejos de cuenca y cuatro corporaciones autónomas
Se realizaron alrededor de sesenta reuniones virtuales a través de la plataforma zoom con los consejos de cuenca del departamento para contribuir en la capacitación y el fortalecimiento de su quehacer institucional. 
Desde el diplomado en Gobernanza del agua, ordenamiento y gestión sostenible del territorio orientado por la UAM,  se logró la participación de 24 estudiantes provenientes de diversos consejos de cuenca, entidades y Corporaciones Autónomas, que se articuló a la realización de 6 recorridos de cuenca en: La cuenca Tapias; Rio Risaralda, donde se visitó el Ingenio Risaralda; Cuenca La Miel; Rio Chinchiná y la Cuenca Guarino. 
Adicionalmente, se realizaron recorridos en los territorios con los consejos de cuenca locales para conocer las condiciones de los ecosistemas que están bajo su tutela en la cuenca Guarino; consejo de  cuenca del Rio la Miel; consejo de cuenca de Samaná sur, por otra parte, se llevaron a cabo otros encuentros con consejos de Cuenca en el Oriente de Caldas en la cuenca del rio Guarino, donde ISAGEN socializo los avances del POMCA; con el consejo de cuenca del Rio la Miel se socializaron los resultados del PROCEDA Victoria; en la Dorada se llevó a cabo una jornada de reflexión sobre el carácter consultivo de los consejos de cuenca.
Para el fortalecimiento de los consejos de cuenca se elaboró material divulgativo para el Diplomado de Gobernanza del agua y la implementación de la escuela de liderazgo Ambiental</t>
  </si>
  <si>
    <t xml:space="preserve">Proyecto 10:  Uso y manejo del recurso Hidrico </t>
  </si>
  <si>
    <t xml:space="preserve">Acciones implementadas para la reducción de la contaminación de las fuentes hídricas en áreas urbanas del departamento de Caldas </t>
  </si>
  <si>
    <t>Metros lineales construidos para la reducción de la contaminación de las fuentes hídricas en áreas urbanas del departamento de Caldas</t>
  </si>
  <si>
    <t>Metros lineales</t>
  </si>
  <si>
    <t xml:space="preserve">1). PTAR Guarinó:  avance actual 60%. 
2). planta de tratamiento de aguas residuales en el sector los Cámbulos en el municipio de Manizales – Villamaría.  Valor total $146.408.081.084 de los cuales corpocaldas aporta $6700 mill 
3). Convenio 225-2019 con Empocaldas: Municipios de Supía y Filadelfia:  Municipio Supia:  Hasta la fecha se han instalado 155 m de tubería de 12” y 9 cámaras de inspección.  Municipio de Filadelfia: Instalación 320 m de tubería novafort 12" y 14 cámaras de inspección de diámetro 1.20.
4).Convenio 239-2019 con Aguas de Manizales: Construcción y Rehabilitación de Interceptores:  193.5 m de interceptor
5). Se celebraron los siguientes convenios los cuales serán ejecutados durante la vigencia 2021.
</t>
  </si>
  <si>
    <t>Metros lineales construidos para la reducción de la contaminación de las fuentes hídricas en áreas urbanas del departamento de Caldas
- Municipio de Palestina: construcción de un tramo del InterceptorColector Laguna-Matadero, paralelo a la Qda. Cartagena, sector Los Nogales.
- Municipio de Belalcázar:  se inicia construccion de dos tramos de Interceptor-Colector:  Línea 1 en el sector Cancha Vieja y Línea 3 ubicado en el sector La Marina. 
- Municipio Viterbo: Se adelanta por parte de EMPOCALDAS S.A. E.S.P., la contratación de las obras para Interceptor-Colector Limones en el sector La Playita
- Convenio Aquamana, Municipio de Villamaría y Corpocaldas: para la construcción de obras de descontaminación  en el municipio
- Convenio con el Municipio de Samaná y Empocaldas SA ESP: en cumplimiento de una acción de tutela instaurada por la Sra. Yarledy Herrera
- Convenio con el municipio der Aranzazu: para dar continuidad a las obras de descontaminación de la quebrada
El Sargento
- Convenio entre EMPEN. Municipio de Pensilvania y Corpocaldas: para la construcción de obras de descontaminación del recurso hídrico (interceptores) en el marco del PSMV
- Convenio Aguas de Manizales para la construcción de obras de descontaminación hídrica en el distrito sur en el Municipio de Manizales (Villacarmenza)</t>
  </si>
  <si>
    <t>En ejecucion de recursos convenios con:
- Aguas de manizales 
- empocaldas:  samana - filadelfia - acuamana - belalcazar - palestina - viterbo - samana - 
-  aquamana - villamaria
- municipio de aranzazu
- EMPEN - Pensilvania</t>
  </si>
  <si>
    <t>1. Convenio 621-2019 suscrito con el Ministerio de Vivienda, municipio de Manizales, Aguas de Manizales SA ESP y Corpocaldas (vigencias futuras 2020-
 2021-2022-2023): Construcción PTAR.
 2. municipio de Aranzazu: descontaminacion quebrada el sargento
 3. Municipio de Neira: reparación y continuación de la estructura existente en la quebrada El Matadero (box coulvert) que conduzcan los vertimientos hacia una futura planta de tratamiento.
 4. Municipio de Supia - Empocaldas: interceptor que viene desde la parte norte del municipio por toda la orilla de la Quebrada Rapado
 5. Aquamana . Municipio de Villamaria: construcción de obras de descontaminación del recurso hídrico (Interceptores) en el sector de La Floresta fase 1</t>
  </si>
  <si>
    <t xml:space="preserve">"El logro de la meta, está asociado a la construcción de Interceptores y/o colectores en las áreas urbanas del departamento, para disminuir los puntos de entrega de las aguas residuales al paso de ríos y quebradas por las cabeceras municipales, para lo cual se  celebraron convenios interadministrativos con empresas de servicios públicosm como:
Aguas de Manizales S.A E.S.P 
Empocaldas S.A E.S.P
Aquamaná
EMPEN (Pensilvania)
Y Administraciones Municipales como Aranzazu, Neira, Aguadas, Filadelfia, Belalcázar, Palestina, Viterbo, Samaná, Villamaría, Supía.
Durante la vigencia se ejecutaron obras como: Construcción de PTAR municipio de Manizales, Box Culvert municipio de Neira para la conducción de vertimientos, interceptor municipio de Supía, Construcción de obras de descontaminación del recurso hídrico (interceptores) en el sector de la Floresta - Villamaría, entre otros"				</t>
  </si>
  <si>
    <t xml:space="preserve">Acciones implementadas para la reducción de la contaminación de las fuentes hídricas en área rural del departamento de Caldas </t>
  </si>
  <si>
    <t>Unidades de saneamiento básico construidas</t>
  </si>
  <si>
    <t>Durante la vigencia 2020 se ejecutaron actividades asi:  (347 Unidades - Revisar Luisa)
1) Convenio 097 de 2019.Corpocaldas y el municipio de Riosucio - 145 sistemas de saneamiento individual y 26 casetas sanitarias
2). Convenio 078 de 2019. Celebrado entre Corpocaldas y el municipio de Belalcázar: Se llevó a cabo la construcción de 29 sistemas de saneamiento individual y 7 casetas sanitarias
3). Convenio 193 de 2019 Celebrado entre Corpocaldas y el municipio de Viterbo:  A 31 de diciembre de 2020, se construyeron 10 sistemas de saneamiento.
4). Convenio 066 de 2019. Celebrado entre Corpocaldas y el Comité de Cafeteros – Fase X:  33 sistemas 
5). Convenios interadministrativos con Cooperativas de Caficultores: 97 Sistemas  
6). Se celebraron 8 convenios para la construcción de sistemas de saneamiento básico en zonas rurales, los cuales serán ejecutados durante la vigencia 2021 con los cuales se espera tener 153 sistemas:  Comité de Cafeteros de Caldas, Victoria, Palestina, San José, Risaralda, Marquetalia, Pácora</t>
  </si>
  <si>
    <t xml:space="preserve">34 Unidades de saneamiento básico construidas en el marco del convenio celebrado con el comité de cafeteros de Caldas </t>
  </si>
  <si>
    <t>Convenio bajo la figura de Bolsa Común para la implementación de obras de descontaminación hídrica. Al momento se cuenta con convenios de adhesión celebrados con Cooperativa de Caficultores y varios municipios por valor de $1.128.959.670, 
480 sistemas septicos - 4 pequeñas plantas comunitarias que benefician a 102 pobladores - 72 nuevas casetas sanitarias y reparacion de 68.</t>
  </si>
  <si>
    <t>Convenio comité de Cafeteros - corpocaldas 
 contrato de donacion ISAGEN</t>
  </si>
  <si>
    <t>"El logro de la meta está asociada a la construcción sistemas de saneamiento básico en el área rural del departamento de Caldas, en la búsqueda de impactar las micro-cuencas y cuencas del área rural del departamento y consecuentemente la vida de los habitantes de estas zonas del departamento.
Para la consecución de estas metas, el socio estratégico de la entidad en el presente cuatrienio fue el Comité Departamental de Cafeteros de Caldas, que comparte el propósito común de llevar mejores condiciones de vida a la zona rural mediante el manejo adecuado de las aguas residuales domésticas.
En los casos en los que por la ubicación de las viviendas lo ameritara, se llevó a cabo la construcción de Pequeñas Plantas Comunitarias como solución que permitiera llevar la solución a las comunidades priorizadas.
Adicionalmente, se logró la adhesión de municipios como: Supia, Neira, Belalcazar, La Merced, Aranzazu, Anserma, Chinchiná, Manzanares, Samaná.
Se logró también mediante estos convenios la ejecución de recursos aportados en los Convenios Isagen- Corpocaldas, para impactar las cuencas de los ríos La Miel y Guarinó.
Además del Comité de Cafetero, durante la vigencia 2020 se adelantaron Convenios Interadministrativos con municipios como: San José, Risaralda, Palestina, Norcasia y Pácora</t>
  </si>
  <si>
    <t>Implementar obras para el tratamiento y  la reducción de la contaminación en fuentes hídricas en territorios indígenas.</t>
  </si>
  <si>
    <t>Obras implementadas para el tratamiento y la reducción de la contaminación en fuentes hídricas en territorio indigenas</t>
  </si>
  <si>
    <t>En la fase 10 del convenio con Comité de Cafeteros, en el 2020, se establecieron 25 unidades sanitarias con sus respectivos sistemas sépticos, en el resguardo Cañamomo Lomaprieta. Allí mismo, se adelantó el mantenimiento de 100 sistemas sépticos unifamiliares instalados en años anteriores</t>
  </si>
  <si>
    <t>En el marco del convenio celebrado con el Comité de Cafeteros actualmente en ejecución, se tiene previsto la ejecución de obras en las comunidades de San Cayetano y Santa Ana en el municipio de Supía.</t>
  </si>
  <si>
    <t>Construcción de Sistemas Sépticos individuales con capacidad de 3.000 litros, en la zona rural de territorios indígenas como los resguardos de La Montaña, Escopetera y Pirza y San Lorenzo del municipio de Riosucio</t>
  </si>
  <si>
    <t>1. Alcantarillado comunidad San Antonio - Resguardo Escopetera y Pirza (en ejecución)
 2. Sistema Séptico Integrado 7.500 Lts Comunidad Pueblo Viejo - Resguardo Nuestra Señora De La Montaña (En Ejecución)
 3. Obras de saneamiento básico construidas Resguardo Cañamomo - 14 Sistemas ejecutados - 8 en ejecución</t>
  </si>
  <si>
    <t>"Se realizaron obras de saneamiento básico en los territorios indígenas como se describe a continuación: 
•	En la fase 10 del convenio con el Comité de Cafeteros, se construyeron 25 unidades sanitarias con sus respectivos sistemas sépticos
•	en el resguardo Cañamomo Lomaprieta y se realizó mantenimiento a 100 sistemas sépticos unifamiliares instalados en años anteriores
•	Adicionalmente se realizó la instalación de sistemas sépticos individuales con capacidad de 3.000 litros, en los resguardos La Montaña, Escopetera y Pirza y San Lorenzo
•	en convenio con el resguardo Cañamomo Lomaprieta instalaron 36 sistemas sépticos y 13 unidades sanitarias; en las comunidades Tumbabarreto, Miraflores, Portachuelo, Paneso
•	Con el Comité de Cafeteros se realizó la conexión de 16 viviendas por medio de alcantarillado a una PTAR en la comunidad San Antonio en el Resguardo Escopetera y Pirza, 
•	se instaló Sistema Séptico Integrado 7.500 litros para 7 familias en la comunidad Pueblo Viejo del resguardo La Montaña</t>
  </si>
  <si>
    <t xml:space="preserve">Obras para el abastecimiento hídrico en territorios indigenas (bocatomas, reservorios, pozos y otros), construidas </t>
  </si>
  <si>
    <t>Obras para el abastecimiento hídrico en territorio indigena</t>
  </si>
  <si>
    <t>Se realizaron obras para mejorar el abastecimiento en 9 comunidades indígenas al interior del resguardo Cañamomo Lomaprieta (8 mejoramiento de Tanques, sitios de captación y conducción, así como la construcción de un Pozo profundo para captación de aguas subterráneas</t>
  </si>
  <si>
    <t>En el marco del convenio celebrado con el Comité de Cafeteros actualmente en ejecución, se tiene previsto la ejecución de obras en las comunidades indigenas del municipio de Supía.</t>
  </si>
  <si>
    <t xml:space="preserve">Resguardo Totumal, vereda la Merced – municipio de Viterbo
En el resguardo Totumal, vereda La Merced en el municipio de Viterbo, está conformada por ocho familias beneficiarias del abasto. </t>
  </si>
  <si>
    <t>1) Abasto de la comunidad Sevilla - Resguardo Cañamomo y Lomaprieta (terminado)
 2) Abasto de la comunidad El Jordán - Resguardo Nuestra Señora de La Montaña (ejecutado)
 3) Abasto de la comunidad Ubarbá - Resguardo Nuestra Señora de La Montaña (en ejecución</t>
  </si>
  <si>
    <t>se mejoraron abastos comunitarios en diferentes comunidades indígenas del departamento como se describe a continuación: 
-	Se realizaron obras para mejorar el abastecimiento en 9 comunidades indígenas al interior del resguardo Cañamomo Lomaprieta: 8 mejoramiento de Tanques en sitios de captación y conducción, construcción de un Pozo profundo para captación de aguas subterráneas. 
-	En el marco del convenio celebrado con el Comité de Cafeteros se realizaron visitas e intervenciones en varios abastos comunitarios: mejoramiento de abasto en el resguardo Totumal, vereda la Merced, obras en las comunidades Ubarbá y el Jordán en el resguardo La Montaña, La Soledad, Pasmí y Pringamozal en el resguardo San Lorenzo, Bajo Rodeo y Alto Sevilla en el resguardo Cañamomo Lomaprieta, La Arboleda en la parcialidad Dachijoma
-	en convenio con la Asociación de Cabildos Indígenas de Caldas ACICAL se instalaron 10 canecas plásticas de 500 lt cada una y 2 de 1000 cada una, como reservorios de agua, en la parcialidad BakuRukar.</t>
  </si>
  <si>
    <t>Acciones para el control y manejo de la contaminación comunidades afrocolombiandas de Caldas</t>
  </si>
  <si>
    <t>Obras implementadas para el control y manejo de la contaminación en las comunidades Afrocolombianas de Caldas</t>
  </si>
  <si>
    <t xml:space="preserve">1). Convenio 066 de 2019 se establecieron en la comunidad de Guamal, 18 sistemas sépticos, 10 casetas sanitarias y se repararon 7 unidades más
2). En desarrollo del Convenio 172 de 2020 con el Comité Departamental de Cafeteros de Caldas; se dará impulso a actividades tendientes a la realización de mantenimiento y construcción de obras para la descontaminación del recurso hídrico en comunidades afrodescendientes del departamento de Caldas. (Fase XI).  </t>
  </si>
  <si>
    <t>En el marco del convenio celebrado con el Comité de Cafeteros actualmente en ejecución, se tiene previsto la ejecución de obras en las comunidades  afrocolombiandas de Caldas</t>
  </si>
  <si>
    <t>Construcción de Sistemas Sépticos individuales con capacidad de 3.000 lits, en la zona rural de Caldas en comunidades NARP en los municipios de Supía y Anserma</t>
  </si>
  <si>
    <t xml:space="preserve">Se logró la implementación de 29 obras para el control y manejo de la contaminación en las comunidades Afrocolombianas de Caldas con obras como: Unidades de saneamiento básico, reparación, mantenimiento e instalación de sistemas séptico y casetas sanitarias en los municipios de Supía y Anserma.	</t>
  </si>
  <si>
    <t>Obras para el abastecimiento hídrico (bocatomas, reservorios, pozos y otros), con las comunidades afrocolombianas de Caldas</t>
  </si>
  <si>
    <t>Obras implementadas para el abastecimiento hídrico en las comunidades Afrocolombianas de Caldas</t>
  </si>
  <si>
    <t>Se Avanza la ejecucion del Convenio 172 de 2020 con el Comité Departamental de Cafeteros de Caldas para el impulso obras para el abastecimiento hídrico en el área rural</t>
  </si>
  <si>
    <t>Obras adelantadas en el marco del convenio 172-2020 con vigencia futuras del 2021
Bajo Cauya – municipio de Anserma
Cañaveral – Municipio De Samaná</t>
  </si>
  <si>
    <t>Convenio con el Comité de Cafeteros: Vereda El Carmelo (Afrosandeca) – municipio de Anserma donde habitan familias de la comunidad afrodescendiente Afrosandeca. Del abasto de esta vereda se benefician 35 usuarios.</t>
  </si>
  <si>
    <t>Se  implementaron 3 obras:  en la comunidad de Villa 
Esperanza (Victoria), se culminó la bocatoma, la instalación de 
aproximadamente 900 ml de tubería; en Convenio entre Corpocaldas y el Comité Departamental de Cafeteros de Caldas se construyeron obras para el abastecimiento hídrico en comunidades Afrocolombianas en el municipio de Victoria;  se realizó demolición de la antigua bocatoma y reconstrucción de ésta, con lo cual se beneficiaron 28 familias de la comunidad Afrodescendiente del la vereda Cauya en Anserma; en la vereda Carmelo del municipio de Anserma, se realizó la recosntrucción de una bocatoma  en la se benefician 35 usuarios.</t>
  </si>
  <si>
    <t>PROGRAMA EDUCACIÓN AMBIENTAL</t>
  </si>
  <si>
    <t>SUBPROGRAMA V GOBERNANZA PARA LA GESTIÓN AMBIENTAL</t>
  </si>
  <si>
    <t>Proyecto 11: Educación para el conocimiento y la apropiación del patrimonio natural</t>
  </si>
  <si>
    <t>Comités Técnicos Interinstitucionales de Educación Ambiental -CIDEA- (Departamental y Municipales), acompañados</t>
  </si>
  <si>
    <t>CIDEA Fortalecidos</t>
  </si>
  <si>
    <t xml:space="preserve">Corpocaldas ha reafirmado su compromiso con la educación ambiental Caldense a través de las actividades de acompañamiento y fortalecimiento de los CIDEA municipales (CIDEAM) a través de reuniones periodicas programadas.
2 mesas ordinarias CIDEAC: 1) politica ecologico ambiental de caldas y socializacion Decreto 0140 de mayo de 2020, “Por el cual se aprueba la “Política Pública Unidos por la Educación Ambiental 2020-2030”
En cuentro CIDEAR EJE CAFETERO:  Plan Regional de Educación “Aprender a Desaprender”.  se definieron dos comisiones de trabajo, una para la revisión y propuesta de articulación entre RAP - CIDEAR
Se avanza en la ejecucion del Convenio 136-2020 con la Universidad de Manizales, para el acompañamiento y fortalecimiento de los Comités Técnicos Interinstitucionales de Educación Ambiental - CIDEA y la formulación participativa de los Planes Municipales de Educación Ambiental de los municipios de La Dorada y Filadelfia; así como el fortalecimiento de SUMA Ambiental”. 
Se avanza en la ejecucion del Convenio Interadministrativo 227-2020 con el municipio de Riosucio, se contempló dar inicio a la formulación de la propuesta de Plan Municipal de Educación Ambiental
</t>
  </si>
  <si>
    <t xml:space="preserve">Con la coordinación del Subproceso de Educación Ambiental de Corpocaldas y la Secretaría de Educación Departamental, se programaron los acompañamientos a los CIDEA de los 27 municipios
- formulación participativa de los Planes Municipales de Educación Ambiental de los municipios de La Dorada y Filadelfia. Así como el fortalecimiento de SUMA Ambiental.
- En convenio con la Universidad de Manizales se estructura el diplomado virtual dirigido a delegados de los CIDEA locales. 
- se ha mantenido el compromiso constante por la integración regional, por ello el trabajo articulado con los representantes y delegados de los CIDEA departamentales de Caldas, Quindío y Risaralda.  En el marco del cual se conforma la CREA - Eje Cafetero.  Acuerdo entre las Corporaciones Autónomas Regionales para la Educación Ambiental en Colombia; donde se desarrollan acciones encaminadas al fortalecimiento de la educación ambiental en el marco de la Eco región Eje Cafetero.  </t>
  </si>
  <si>
    <t xml:space="preserve">1.  se logró la priorización de los municipios que incluyeron metas asociadas a los CIDEA en sus planes de desarrollo, estos fueron Riosucio, Supía, Belalcázar, Viterbo, Villamaría, Neira, Aránzazu, Aguadas, Manzanares, Pensilvania, Victoria y Samaná, con base en ello y en el respaldo de las alcaldías y las Secretarías de Educación se dio inicio al acompañamiento de 12 comités
2. Acompañar los CIDEA municipales en la implementación de los Planes Municipales de Educación Ambiental -l diplomado en educación ecológico- ambiental se desarrolló a partir del abordaje de seis módulos temáticos, denominados: Introducción a la ecología, contexto nacional e internacional de la educación ambiental, comunicación ambiental y asertiva, educación ambiental: elementos para su formulación e implementación en el territorio, los procesos e instrumentos de planificación territorial y  hacia la formulación de planes municipales de educación ambiental.  Participaron 12 municipios - 50 estudiantes. 
3. Fortalecimiento del CIDEA departamental para la implementación de la Política de Educación Ecológico Ambiental para Caldas 2020 - 2030. 
4. Estrategias para el intercambio de experiencias con CIDEA Eje Cafetero. 5 reuniones ordinarias
5.  Encuentros Comisión Regional de Educación Ambiental del Eje Cafetero CREA-EC:  Encuentro ASOCARS, Ministerio de Educación Nacional y Ministerio de Ambiente y Desarrollo Sostenible, Segundo encuentro de representantes CREA ante la Comisión nacional de Educación Ambiental CNEA, Encuentro Ministerio de Ambiente y Desarrollo Sostenible , III Encuentro de líderes de Educación Ambiental de las CAR Primer encuentro de la Comisión Nacional de Educación Ambiental - 4to Encuentro Nacional de Autoridades Ambientales – Investigación – Desarrollo – Innovación.
5. alianzas con los actores sociales y sectoriales que integran las mesas para la competitividad y las agendas sectoriales entre otros, para su vinculación y participación activa en los CIDEA de los 27 municipios del departamento. </t>
  </si>
  <si>
    <t>a) se formularon 12 PEAM de los municipios: Riosucio, Supía, Belalcázar, Viterbo, Villamaría, Neira, Aránzazu, Aguadas, Manzanares, 
 Pensilvania, Victoria y Samaná.
 b) Fortalecimiento del CIDEA departamental para la implementación de la Política de Educación Ecológico Ambiental para Caldas 2020 - 2030.
 c) Reunión Comité Interinstitucional de educación ambiental de Manizales CIDEAMA
 d) Estrategias para el intercambio de experiencias con CIDEA Eje Cafetero.
 e) Generar alianzas con los actores sociales y sectoriales que integran las mesas para la competitividad y las agendas sectoriales entre otros, para su vinculación y participación activa en los CIDEA de los 27 municipios del departamento</t>
  </si>
  <si>
    <t xml:space="preserve">Para el acompañamiento de los CIDEA, se establecieron convenios de asociación entre Corpocaldas y la universidad de Manizales,  los cuales contribuyeron al fortalecimiento de los comités interinstitucionales de educación ambiental de los 27 municipios del departamento, igualmente, facilitaron  la  formulación de 25 planes municipales de educación ambiental PEAM, mediante procesos de  participación ciudadana, cartografía social  y  asesoría pedagógica especializada por parte de  profesionales del  Centro de Investigaciones en medio ambiente y  desarrollo sostenible CIMAD de la  universidad de Manizales.
Los municipios que cuenta con plan municipal de educación ambiental  PEAM son: Riosucio, Supia, Belalcazar, Viterbo, Villamaria, Neira, Aranzazú, Aguadas, Victoria, Samana, Manzanares, Filadelfia  y La Dorada.   En la  vigencia  2023  se  acompañaron  los  municipios  de Palestina, Chinchina, Salamina, Marulanda, Norcasia, La Merced,  Pacora, Marquetalia, Marmato,  Risaralda, San José y Anserma,  en  la formulación del  plan  y fortalecimiento de los comites  inte¿rinstitucionales de educación ambiental.   
Adicionalmente,  se apoyó la implementación de los PEAM de  Filadelfia y  La Dorada.  La implementación de estos planes,  se viene realizando  a partir de  reuniones periódicas de los  CIDEAM, actividades de  formación en educación ecológica ambiental,  reconocimiento del territorio mediante sálidas pedagógicas  y acciones  de  intervención  a problemas educativo ambientales  aprovechando  la estrategia de  articulación con  la red de maestros PRAE,  la  red  de jóvenes de ambiente  y  diferentes  actores de la sociedad civil, quienes  a través  de  PROCEDAS  realizan acciones encaminadas a la salvaguarda del  espacio ecológico  y sostenibilidad  ambiental  de Filadlefia  y La Dorada.  
De manera complementaria, se  apoyo  la  secretaria  Técnica del  CIDEAC  para su  fortalecimiento  y formación de  capacidades  pedagogas  y  didácticas  en  asesoría a  instituciones  educativas  y actores CIDEAM para  la  implementación de la política publica de educación ecológico ambiental, adicionalmente, se apoyó  la  sistematización de  la experiencia SUMA ambiental que integra centros de investigación de universidades prestigiosas de la ciudad de Manizales a  partir del dialogo con los docentes, investigadores  y actores  expertos  alrededor de la construcción de un modelo de gestión de educación ambiental  en Caldas.  </t>
  </si>
  <si>
    <t xml:space="preserve">Procesos educativos ambientales incorporados en la vida académica e institucional </t>
  </si>
  <si>
    <t>Procesos educativos ambientales Operando</t>
  </si>
  <si>
    <t>1) Mesa Interuniversitaria Eje Cafetero para la realización del evento “Complejidad de lo Ambiental, Avances y Retos en la Educación Superior. Hacia un estado del arte en la región". Un espacio para la divulgación de investigaciones en maestría y doctorado
2) Corpocaldas participó como asistente, en el “XII Encuentro Departamental de Semilleros de Investigación de la Red Regional -RREDSI Nodo Caldas”
3) Apoyo a eventos abiertos al público en general - Samaná, Supía y Belalcázar alcaldías de Marulanda, Norcasia y Palestina
4) Apoyo eventors en las - IE Bartolomé Mitre y San Francisco de Paula del municipio de Chinchiná, Pío XI de Aranzazu,  Dulce Nombre del corregimiento de Florencia en Samaná, El Edén en Aguadas, Jardín Travesuras Sede 1 en Aranzazu. - I.E. San Miguel de Manizales, Berlín de Samaná,  Cristo Rey de Belalcázar,  y la Corporación Rafael Pombo.
5) Encuentro RED PRAE 
6) certificación por parte del MADS a 32 instituciones educativas de Caldas, que participaron en la convocatoria del 2019, para la “Identificación de experiencias significativas en educación ambiental”, cuyo objetivo fue "Fortalecer la implementación de la Política Nacional de Educación Ambiental a través de la visiibilización de los procesos territoriales instalados”; los certificados fueron emitidos durante los meses de mayo y junio de 2020.
7) convocatoria de la “Cátedra Bicentenario - 200 años de Biodiversidad”, convocada por MADS con el objetivo de “Conmemorar el Bicentenario de la Campaña Libertadora a través del desarrollo de una cátedra ambiental dirigida a niños, niñas, adolescentes y público en general de las diversas regiones del país, para que apropien su territorio a través de la biodiversidad, la cultura y la historia”. (34 INSTITUCIONES DE CALDAS)
8) Convenio 094-2020 - FUNDECA-  proyectos de investigación,  ciencia, tecnología e innovación con la estrategia ONDAS de Colciencias, articulados con los Proyectos Ambientales Escolares PRAE, en  30 instituciones educativas distribuidas en los 27 municipios del departamento de CaldaS - 30 PROYECTOS PRESENTADOS)</t>
  </si>
  <si>
    <t>6 Procesos educativos ambientales Operando
1)  Fortalecer SUMA Ambiental para la incorporación de la dimensión ambiental en la vida académica en instituciones de educación superior.
2) Con la Universidad de Caldas a través del programa “Universidad en tu Colegio”, se adelantaron reuniones con los docentes y estudiantes y se realizó un taller en el cual la Corporación brindó asesoría y acompañamiento relacionado con la importancia de la gestión ambiental en el desarrollo formativo de los futuros técnicos, tecnólogos y profesionales.
3) se vinculó al SENA Regional Caldas, específicamente en sus centros de Comercio y Servicios y Centro para la Formación Cafetera, para revisar las oportunidades de fortalecimiento de los componentes ambientales en los procesos internos de la institución y su proyección en la formación técnica y tecnológica.
4) Se trabajó en conjunto con la Secretaría de Educación Departamental - SED Caldas, para el desarrollo de una estrategia de asesoría y acompañamiento integral a la Red PRAE.   A la fecha se cuenta con la sistematización de 143 proyectos, 88 son de carácter departamental y 55 de Manizales
5) Formación a líderes para el fortalecimiento de la Red PRAE Caldas:  Se consolidó un grupo de 8 docentes que cuentan con el aval de la SED y el respaldo técnico de la corporación para representar a las 6 Subregiones. para brindar una asesoría a los líderes de los proyectos ambientales escolares con énfasis en el abordaje inicial de las 162 Instituciones educativas
6). se promovió y realizó en el “Primer Simposio Virtual de Experiencias PRAE de Caldas”, un evento para exaltar y hacer un reconocimiento a la labor formativa y a los proyectos con los cuales se están logrando avances en materia de educación ambiental a nivel local y regional, el cual contó con el respaldo logístico y técnico de la SED Caldas y Corpocaldas y la intervención de MINAMBIENTE, las universidades Católica y de Caldas y la Red Colombiana de Jóvenes por la Biodiversidad - GYBN Colombia.
7) se apoyaron 13 proyectos en atención a solicitudes directas para asesorías y talleres con docentes, estudiantes y administrativos en temáticas específicas de residuos sólidos, recurso hídrico y biodiversidad, así como en la evaluación de productos y concursos generados con las comunidades.  Instituciones educativas públicas: San Jerónimo de Riosucio, San Pedro Claver de Villamaría, El Águila y El Madroño de Belalcázar, Fe y Alegría La Paz de Manizales, Occidente de Anserma, La Libertad de San José, Crisanto Luque de Filadelfia, Alfonso Lopez en la Dorada y La presentación de Salamina.
8). Apoyo a proyectos de ciencia, tecnología e innovación, con enfoque ambiental desarrollados en establecimientos educativos (Proyecto ONDAS):  se apoyaron grupos de investigadores de 10 instituciones de educación básica y media en 10 municipios.  Se llevo a cabo el El Encuentro Nacional, allí se destacó entre los mejores el grupo de investigación “Agroindustria como transformación de vida de los jóvenes rurales” de Riosucio, su incentivo será representar a Colombia en próximos encuentros internacionales de ciencia, tecnología e investigación.</t>
  </si>
  <si>
    <t>1. Formación a líderes para el fortalecimiento de la Red PRAE Caldas.
2. Reconocimiento experiencias significativas a 22 PRAE en el Dpto   
3. Apoyo a proyectos de ciencia, tecnología e innovación, con enfoque ambiental desarrollados en establecimientos educativos (Proyecto ONDAS) - campamento STEAM - 15 IE desarrollando preguntas de investigacion - Encuentros de Ciencia, Tecnología e Innovación del Programa Ondas Caldas (125 proyectos de los cuales se sekeccionaron 32 para participar en este encuentro dptal)</t>
  </si>
  <si>
    <t>1) Apoyo a proyectos de ciencia, tecnología e innovación, con enfoque ambiental desarrollados en establecimientos educativos (Proyecto ONDAS).
 2) Formación a líderes para el fortalecimiento de la Red PRAE Caldas y Reconocimiento experiencias significativas PRAE</t>
  </si>
  <si>
    <t xml:space="preserve">Mediante la ejecución del Convenio celebrado con la Universidad de
Manizales, se fortaleció y respaldó al Sistema Universitario de Manizales Ambiental SUMA a partir de la sistematización de la experiencia de la estrategia, apoyo a mesas regionales, talleres entre otros. 
En articulación con Secretaría de Educación Departamental se realizó reconocimiento en especie a 25 instituciones educativas de los municipios de Manzanares, Manizales, Riosucio, Pácora, Pensilvania, Aranzazu, Viterbo, Manizales, Samaná, Supía, La Dorada, Palestina,Salamina, Risaralda, Filadelfia, Marulanda y Marquetalia. 
Mediante la ejecución del convenio celebrado entre Corpocaldas y Fundeca, con el programa ONDAS, se fortaleció el componente investigativo de 30 Proyectos Ambientales Escolares de 27 municipios del departamento.   Así mismo se apoyaron los PRAE de los municipios de Aguadas, La Dorada, Marquetalia, Aranzazu, Villamaría, Pácora, Riosucio, Viterbo, Victoria, Supía, Riosucio, Aguadas,  Belalcazar, Chinchiná, Filadelfia, Manizales, Marquetalia, Neira, Risaralda, Salamina, Victoria y Villamaria. 
Adicionalmente se reconocieron, en el marco de la semana ambiental, a 9 PRAE del departamento con un estímulo en especie donado por Corpocaldas y la Gobernación de Caldas (Secretaría de Educación y Secretaríade Medio Ambiente). 
Las instituciones educativas que recibieron el reconocimiento por sus procesos de transversalización con temas ambientales fueron: San Pedro Claver (Villamaría), Llanogrande (Neira), Félix Naranjo (Samaná), La Iberia (Riosucio), Renán Barco (La Dorada), San Antonio de Arma (Aguadas), Hojas Anchas (Supía), Jhon F. Kennedy (Riosucio) y El Socorro (Viterbo). 
Adicionalmente se realizaron 6 giras Subregionales para fortalecer la Red de Líderes PRAE formalizada en 2022 bajo la resolución 3562 por la Secretaria de Educación de la Gobernación de Caldas con el apoyo de Corpocaldas </t>
  </si>
  <si>
    <t>Alianzas con grupos empresariales para  incorporar la dimensión ambiental en sus programas de formación y sensibilización de buenas prácticas productivas</t>
  </si>
  <si>
    <t>Alianzas implementadas con grupos empresariales para incorporar la dimensión ambiental en sus programas de formación y sensibilización de buenas prácticas productivas</t>
  </si>
  <si>
    <t>Empresarios por la educacion.  La Educación Que Nos Une”, que hizo posible que los recursos de contenido digital de carácter formativo de la Corporación, fueran revisados y algunos de ellos alojados en la página web “Laeducacionquenosune.co”, la cual quedó con libre acceso para cuidadores, padres de familia, docentes, directivos docentes y organizaciones que requieran continuar incorporando herramientas de trabajo y formación ambiental durante la emergencia.</t>
  </si>
  <si>
    <t>1) Con la Fundacion  Bolívar Davivienda, Se realizó en el mes de noviembre una siembra de 40 árboles de Guayacán en la Granja Montelindo ubicada en Palestina, con un grupo de 40 personas entre funcionarios y familias pertenecientes al voluntariado ambiental.</t>
  </si>
  <si>
    <t>1. Propiciar alianzas con grupos y fundaciones empresariales para incluir la dimensión ambiental en sus programas y proyectos (prácticas productivas de los sectores económicos ganadería, aguacate, Industrial.</t>
  </si>
  <si>
    <t>Propiciar alianzas con grupos y fundaciones empresariales para incluir la dimensión ambiental en sus programas y proyecto: procesos derivados de las agendas sectoriales ganadera, aguacatera e industrial.</t>
  </si>
  <si>
    <t xml:space="preserve">•	Se adelantó un convenio con el Municipio de Pensilvania  para generar una estrategia de información y difusión sobre el manejo integral de los residuos sólidos, a través de la emisora comunitaria STEREO 93.1 MHZ,  se realizaron programas radiales tres días a la semana por espacio de 30 minutos cada uno, durante dos meses. 
•	Se acompañó la instalación de la mesa asesora para la construcción del Plan de Gestión Ambiental Institucional - PIGA de la Alcaldía de Manizales. 
•	Se realizó una siembra de 40 árboles de Guayacán en la Granja Montelindo ubicada en Palestina, con un grupo de 40 personas entre funcionarios y familias pertenecientes al voluntariado ambiental de la Fundación Bolívar Davivienda, como parte de su compromiso social en Caldas, es por ello que se estableció el compromiso de dar respaldo a las labores de educación ambiental que este grupo demande. En compañía a la fundación actos de amor de Manizales y la Fundación botellas de amor se proyectó la edificación un parque infantil con material reciclado en madera plástica en la Cárcel de mujeres Villa Josefina de la ciudad. 
•	Se realizaron ejercicios de socialización de la Política de Educación Ambiental de Caldas con los actores participantes de las mesas sectoriales. 
•	Se realizó una jornada de recolección de empaques y envases de agroquímicos en los predios ubicados en la ruta hacia el Parque Los Nevados con la participación de COLECTA y las alcaldías de Manizales y Villamaría. 
•	En la mesa interna de aguacate se logró establecer prioridades de intervención desde el componente pedagógico con las comunidades y los productores, se llevaron a cabo Jornadas para el buen manejo de residuos orgánicos, uso racional de agroquímicos y manejo adecuado de residuos en las veredas Alto Castillo, Gallinazo y Llanitos de Villamaría, vereda El Laurel en Neira, vereda Chambery de Aránzazu, vereda Frisolera de Salamina, I.E. Llanogrande de Neira y vereda Cañaveral de Salamina, también se tuvo un espacio con los Consejeros de Cuenca del río Chinchiná y talleres con los miembros de las unidades productivas de Quilimary, Campo Sol, Motori Hass, Golden Hass, Wakate y Cartama.
•	Se realizó el “III Foro de Empresas Comprometidas con el Desarrollo Social, Económico y Ambiental de la Comuna Tesorito de Manizales”"			</t>
  </si>
  <si>
    <t xml:space="preserve">Estrategias de educación ambiental para el abordaje de las necesidades ambientales del territorio </t>
  </si>
  <si>
    <t>Estrategias de educación ambiental diseñadas e implementadas para el abordaje de las necesidades ambientales propias del territorio</t>
  </si>
  <si>
    <t xml:space="preserve">1)  procesos de organización y apropiación comunitaria, se realizaron 6 talleres en los municipios:  Risaralda - villamaria - neira - manizales
2) invitación de CORANTIOQUIA, la Corporación se vinculó al acuerdo de voluntades para la formación de “Dinamizadores Ambientales” en las terminales de transporte a través de la propuesta de desarrollo de diferentes etapas de formación.
3) Convenio de Asociación 232-2020, entre Corpocaldas y la Asociación Caldense de Guías de Turismo - ASDEGUIAS Caldas, con el fin de desarrollar un programa de educación ambiental con la comunidad de la zona rural del municipio de Villamaría alrededor del patrimonio ambiental del "Geoparque Volcán del Ruiz
4). contratos 226 y 269-2020 de “Prestación de servicios de apoyo a la gestión para realizar monitoreo ambiental, en la zona Periférica al Parque Nacional Natural Los Nevados y el Páramo
5) Convenio 227-2020, con Riosucio para implementar 4 estrategias educativas en torno a la gestión de residuos sólidos, la protección de la biodiversidad, el recurso hídrico, la gestión del riesgo y el cambio climático
6) celebración de la semana ambiental en el Departamento - Efemérides - NATIVA 
7) 26 al 30 de octubre se llevó a cabo la XV Semana Ambiental (1200 personas participaron de manera directa) 
8) Vinculacion a la estrategia de UTO - MADS para el desarrollo de las actividades de sensibilización y jornada de celebración del Día Internacional de la Protección de la Capa de Ozono - IE Llanogrande del municipio de Neira
9). Aula ambiental.  95 actividades realizadas, con 1859 participantes.
10) Festival de Poesía Ecológica:  716 participantes
11). 8 vídeos tutoriales de Origami, kirigami y recorte papel
12). talleres sobre La Nueva Cultura del Agua y Educación para la Gestión del Riesgo, en términos del fomento de hábitos, actitudes y valores, que propenden por un adecuado manejo y conservación del patrimonio natural en el departamento de Caldas.:  60 jornadas de sensibilización ambiental con población infantil en los 27 municipios del departamento, que incluyeron como herramienta pedagógica obras de títeres, en el desarrollo de esta actividad, se  sensibilizó a un total de 4.962 niños, niñas y docentes de todo el departamento
13) mediaciones didacticas </t>
  </si>
  <si>
    <t>1) proyecto “Si reciclamos todos ganamos en el municipio de Pensilvania Caldas”:  donde se desarrolla una estrategia de sensibilización ambiental orientada al fortalecimiento de las acciones de separación en la fuente, conocimiento del código de colores establecido en la resolución 2184 de 2019.
2) se firmó un acuerdo de voluntades con los propietarios y los representantes de los establecimientos públicos que promueve la correcta separación de los residuos sólidos, se intervinieron 4 puntos críticos de contaminación dos por municipio, se ubicaron dos puntos ecológicos, uno en el Parque Risaralda de Marquetalia - Supermercado Agrosemar y para el caso de Manzanares, la instalación se hizo en el barrio El Carmen Pensilvania.
3) Entre Corpocaldas y la Alcaldía Municipal de Riosucio para implementar 4 estrategias educativas en torno a la gestión de residuos sólidos, la protección de la biodiversidad, el recurso hídrico, la gestión del riesgo y el cambio climático y formular la propuesta de Plan de Educación Ambiental Municipal
4) Convenio educación ambiental municipio Supía:  implementar un proceso de educación ambiental y cultura ciudadana, orientado a la separación en la fuente de los residuos sólidos y apropiación del código de colores.  se logró el abordar más de más de 400 habitantes, entre niñas, niños, adolescentes y adultos del municipio.
5). Feria de Gestión del Riesgo de Caldas, que tuvo lugar en la Plaza de Bolívar de Manizales, con la muestra de la oferta institucional en materia de los avances tecnológicos y demás servicios que prestan los diferentes entes y organismos de prevención y atención de desastres en el departamento
6) Estrategia de educación en Geodiversidad:  se realizaron recorridos por 35 veredas del municipio mediante un ejercicio de visita domiciliaria haciendo uso de una cartilla de educación ambiental titulada “YO SOY GEOPARQUE VOLCÁN DEL RUIZ.  la cual aborda las generalidades de esta zona, resalta las características de las comunidades que allí habitan y las acciones de conservación necesarias para la protección de este gran patrimonio natural y geológico.
7) Desde Corpocaldas en conjunto con la Gobernación se ha participado en el proceso de formulación del proyecto “Escuelas Bioclimáticas”, con análisis de prefactibilidad de acuerdo con las especificaciones del Programa de Preparación para la Adaptación Nacional al Cambio Climático y los requerimientos del Fondo Verde del Clima.
8) Estrategias educativas y de sensibilización ambiental dirigidas a la población infantil y juvenil (títeres, aula ambiental, efemérides ambientales).</t>
  </si>
  <si>
    <t>1.  recorridos al parque NN:  1045 personas abordadas.
2.  Red jovenes 
3.  celebracion de efemerides: Enero 26 “Día de la Educación Ambiental” - Febrero 02 “Día Internacional de los Humedales -   Marzo “Día del Árbol - Abril 22. “Día Internacional de La Tierra” - celebraciones locales de la Semana Ambiental de los municipios de Pensilvania, Riosucio, Samaná, Manizales con la Semana por el Cambio Climático, Chinchiná. - Marzo 22 al 25 “Semana del Agua
4.  Realización de estrategias educativas y de sensibilización ambiental dirigidas a la población infantil y juvenil (títeres, aula ambiental).
5. Diseñar e implementar una estrategia integral de educación ambiental que incorpore implementación de prácticas y medidas sostenibles como aporte a la competitividad empresarial, el crecimiento económico y el bienestar socia
6. Festival de Narrativas Urbanas”, realizado del 21 al 26 de septiembre de 2022 en el barrio Aranjuez de Manizales - muralismo
7.  reactivacion del grupo ambiental de Corpocaldas.
8.  Realizaciones de estrategias educativas y de sensibilización ambiental dirigidas a la población infantil y juvenil (títeres, aula ambiental).</t>
  </si>
  <si>
    <t>1. Se desarrollaron y apoyaron actividades de sensibilización y educación con la comunidad en torno a la protección y uso sostenible de 
 la biodiversidad así: se priorizaron los municipios a intervenir con la estrategia "Deje la Lora" para La Dorada, Victoria, Norcasia, Chinchiná y Villamaría. La estrategia del Mico Tití se desarrolla en: La Dorada, Victoria, Norcasia y Pensilvania.
 2. Estrategia integral de educación para el abordaje de la Gestión de riesgos ambientales y el cambio climático.
 3. Celebración de la semana ambiental en el Departamento – Efemérides
 4. Estrategia integral de educación ambiental relacionada con la calidad del aire.
 5. Realización de estrategias educativas y de sensibilización ambiental dirigidas a la población infantil y juvenil (títeres, aula ambiental).
 6. Mediaciones didácticas para educación ambiental
 7. Estrategia integral de educación ambiental para el abordaje de la Gestión del Patrimonio Hídrico.</t>
  </si>
  <si>
    <t xml:space="preserve">Para dar cumplimiento a la meta, se implementaron las estrategias y actividades que se describen a continuacion: 
•	Implementación de estrategias de educación en torno a la gestión de residuos sólidos en el municipio de Riosucio. 
•	En convenio con el municipio de Supía y la Empresa Municipal de Aseo de Supía se implementó un proceso de educación ambiental y cultura ciudadana en el Municipio
•	En convenio suscrito entre Corpocaldas y ASDEGUIAS CALDAS se desarrolló un programa de educación ambiental con la comunidad de la zona rural del municipio de Villamaría alrededor del patrimonio geo diverso del "Geoparque Volcán del Ruiz". 
•	Celebración Departamental de la semana del Medio Ambiente la Corporación 
•	Ejecución del proyecto "Corpocaldas, rodando anda enseñando”.  
•	Implementación de la estrategia "Aula Ambiental". 
•	Procesos de sensibilización en la red de Ecoparques de la ciudad con la participación de 1630 personas.  
•	Se desarrollaron talleres formativos para la promoción del consumo responsable y la identificación de emprendimientos con posible vinculación al proceso de consolidación de nuevos negocios verdes con la RNJA. 
•	Se celebraron diez fechas ambientales efemérides donde se sembraron árboles, se llevaron a cabo actividades pedagógicas con las Instituciones Educativas y se abordaron temáticas en los municipios asociadas con el manejo adecuado de los residuos sólidos y el consumo responsable respecto a los recursos Naturales en el Departamento. 
•	Se le brindo respaldo a las celebraciones municipales de la XVII semana del Medio Ambiente donde se realizaron actividades de sensibilización ambiental a nivel local. 
•	Se realizaron campañas de sensibilización con los visitantes de algunos parques de la ciudad de Manizales, impactando a 2602 personas luego de realizar 150 talleres. 
•	En el Salón Tucán del Ecoparque Los Yarumos, fue instalada la exposición artística Sueño de Planeta, con el respaldo de la Secretaría de Medio Ambiente de la ciudad.
•	Se realizó la “XVII versión del Festival de Poesía Ecológica de Caldas” en articulación con la Secretaría de Educación Municipal con estudiantes y docentes de las instituciones educativas de Manizales. 
•	Se realizaron ejercicios de sensibilización con talleres y juegos ambientales en los 27 municipios a través de 126 talleres impactando directamente a 11469 personas de instituciones educativas en Caldas. </t>
  </si>
  <si>
    <t>Diseño e implementación de estrategias de educación ambiental  para el abordaje de las necesidades ambientales de los territorios indígenas que involucre los conocimientos ancestrales de las comunidades indígenas de Caldas</t>
  </si>
  <si>
    <t>Estrategias de educacion ambiental diseñadas e implementadas para el abordaje de las necesidades ambientales propias del territorio indígena</t>
  </si>
  <si>
    <t>1). Se avanzó en la configuración del diagnóstico como fase inicial en la ruta de construcción del Plan de Educación Ecológico Ambiental del Resguardo Cañamomo Lomaprieta
2). En desarrollo del convenio 272 de 2020, se adelanta el establecimiento de dos vallas informativas sensibilizadoras e informativas en pro de la conservación de la quebrada Aguas Claras, en la parcialidad de Cartama.
3). Se adelantaron 4 recorridos de recorridos a través de la cuenca del río Risaralda para identificar los usos, sitios sagrados y áreas de interés ambiental del territorio indígena</t>
  </si>
  <si>
    <t>Productos generados a través del convenio establecido entre Ministerio de Ambiente Vivienda y Desarrollo Sostenible, la Asociación de Cabildos Indígenas de Caldas y Corpocaldas:  Identificación y descripción de áreas de producción de material vegetal en territorios indígena, Identificación participativa de fauna y flora y sus usos en territorios indígenas, Estado actual de la Educación ambiental propia de las Comunidades Indígenas pertenecientes al Departamento de Caldas</t>
  </si>
  <si>
    <t>1.  Documentación y sistematización para la preservación y recuperación de los saberes ancestrales, culturales, espirituales y sociales de carácter ambiental propios de la identidad de los pueblos indígenas con el resguardo cañamomo - “Plan de Ecosabiduría Ambiental”, que respalda las siete líneas del Programa de Patrimonio Natural.
2.  celebración del “Día Del Árbol” con la comunidad de San Antonio del resguardo indígena Escopetera y Pirza, se sembraron 100 plántulas de nacedero, guamo y chachafruto que ayudarán a proteger el nacimiento de la microcuenca Quimbaya.  En la actividad participaron los integrantes del Club defensores del agua de la Institución Educativa Bonafont, el resguardo Escopetera - Pirza y EMSA</t>
  </si>
  <si>
    <t>Con el resguardo Cañamomo Lomaprieta se viene adelantado un trabajo encaminado a fortalecer su estrategia de conservación con la formulación del plan de Ecosabiduria ambiental.</t>
  </si>
  <si>
    <t>Estrategias de educación ambiental implementadas: 
•	Configuración de diagnóstico como fase inicial en la ruta de construcción del Plan de Educación Ecológico Ambiental del Resguardo Cañamomo Lomaprieta 
•	Establecimiento de dos vallas informativas sensibilizadoras e informativas en pro de la conservación de la quebrada Aguas Claras, en la parcialidad de Cartama. También se viene adelantando un trabajo encaminado a fortalecer su estrategia de conservación con la formulación del plan de Ecosabiduria ambiental. 
•	Recorridos de recorridos a través de la cuenca del río Risaralda para identificar los usos, sitios sagrados y áreas de interés ambiental del territorio indígena. 
•	A través de convenio establecido entre en Ministerio de Vivienda y Desarrollo Sostenible, la Asociación de Cabildos Indígenas de Caldas y Corpocaldas se realizó la dentificación y descripción de áreas de producción de material vegetal en territorios indígenas, Identificación participativa de fauna y flora y sus usos en territorios indígenas, Estado actual de la Educación ambiental propia de las Comunidades Indígenas pertenecientes al Departamento de Caldas 
•	Documentación y sistematización para la preservación y recuperación de los saberes ancestrales, culturales, espirituales y sociales de carácter ambiental propios de la identidad de los pueblos indígenas con el resguardo
•	Celebración del “Día Del Árbol” con la comunidad de San Antonio del resguardo indígena Escopetera y Pirza, se sembraron 100 plántulas de nacedero, guamo y chachafruto que ayudarán a proteger el nacimiento de la microcuenca Quimbaya.  En la actividad participaron los integrantes del Club defensores del agua de la Institución Educativa Bonafont, el resguardo Escopetera - Pirza y EMSA"</t>
  </si>
  <si>
    <t>Comunidad e instituciones educativas acompañadas para el desarrollo de PRAE y PROCEDA en territorios de comunidades  indígenas</t>
  </si>
  <si>
    <t>PRAES y PROCEDAS apoyados y fortalecidos en territorios indígenas</t>
  </si>
  <si>
    <t>1.  proceda:  Convenio Interadministrativo No. 644, con Ministerio de Ambiente y Desarrollo Sostenible, la Corporación Autónoma Regional de Caldas y la ACICAL; cuyo resultado fue la elaboración de un diagnóstico ambiental que contempló las líneas y acciones estratégicas desde los usos y costumbres y plan de vida de las comunidades indígenas para la restauración y conservación de los territorios que se encuentran en el departamento de Caldas
2) prae:  diagnóstico de los PRAE, a través de encuentros virtuales con una participación total de 108 docentes tomando como referencia las instituciones educativas Bonafont, Cañamomo Lomaprieta, Portachuelo y Sipirra</t>
  </si>
  <si>
    <t>Con la Fundación Funbida se brindó apoyo al desarrollo de dos PRAE, ligados uno a la Institución educativa El Llano, en el municipio de Victoria, que giró en torno a fortalecer los conocimientos propios en el desarrollo agroalimentario sostenible; y el otro en apoyo es el PRAE de la Institución Educativa Cabras, en el municipio de Marmato, fortaleciendo el desarrollo de un vivero para la producción de plantas forestales, ornamentales y alimenticias.</t>
  </si>
  <si>
    <t>En la IE Nuestra Señora de Fátima en la comunidad de la Estancias del resguardo de La Montaña inicia el proceso de acompañamiento para el fortalecimiento del PRAE</t>
  </si>
  <si>
    <t>Con el CRIDEC y la ACICAL se realizó articulación institucional que dio como resultado la elaboración de un diagnóstico ambiental que contempló las líneas y acciones estratégicas desde los usos y costumbres y plan de vida de las comunidades indígenas para la restauración y conservación de los territorios que se encuentran en el departamento de Caldas. 
Se diagnosticaron los PRAE, a través de encuentros virtuales, con una participación total de 108 docentes tomando como referencia las instituciones educativas Bonafont, Cañamomo Lomaprieta, Portachuelo y Sipirra. 
Se apoyo el PRAE de la Institución Educativa Cabras de la parcialidad Cartama, fortaleciendo el desarrollo de un vivero para la producción de plantas forestales, ornamentales y alimenticias. 
Se apoyó el PRAE de la institución educativa John F. Kennedy de la comunidad Pueblo Viejo del resguardo de la Montaña con proyecto de propagación de plantas medicinales y elaboración de productos a base de las mismas. 
En la institución educativa Nuestra Señora de Fátima en la comunidad Las Estancias del resguardo La Montaña inició el proceso de acompañamiento para el fortalecimiento del PRAE.</t>
  </si>
  <si>
    <t>Comunidad e  instituciones educativas acompañadas para el desarrollo de PRAE y PROCEDA con enfoque diferencial étnico y soportados en pilares de etnoeducación ambiental afrocolombiana para Caldas.</t>
  </si>
  <si>
    <t>PRAES y PROCEDAS apoyados y fortalecidos con las comunidades Afrocolombianas</t>
  </si>
  <si>
    <t>1). Se concretó el apoyo a dos PRAES, relacionados con centros educativos con presencia de comunidades afrodescendientes en los municipios de Marmato y Victoria. 
2). se articulan las acciones relacionadas con la perspectiva NARP en la construcción de la Ruta del Oro, las cuales en lo local se armonizan con los PRAES de las IE Cabras, Rafael Pombo y Marmato (Sede Echandía).</t>
  </si>
  <si>
    <t>No se logro materializar el convenio con MADS - ACICAL- CORPOCALDAS para el desarrollo de estas actividades.  Lo anterior ante la imposibilidad de expedicion de poliza por parte de ACICAL a favor del MADS</t>
  </si>
  <si>
    <t>En marco de La Mesa Ambiental Afrocaldense se concertaron Proyectos Ambientales Escolares para los municipios de Marmato, Anserma, Palestina, Supía y Victoria, los cuales se encuentran formulados y se priorizo ejecución para la siguiente vigencia</t>
  </si>
  <si>
    <t>La Mesa Ambiental Afrocaldense concertó la inversión de los recursos para PROCEDA para los municipios de Palestina y Marmato</t>
  </si>
  <si>
    <t>Bajo el marco del convenio con Funbida se implementaron estrategias de educación ambiental para el abordaje de la biodiversidad y sus servicios ecosistémicos mediante el fortalecimiento de (2) dos PRAE en las IE El Llano en Victoria y IE. Cabras en Marmato. 
La Mesa Ambiental Afrocaldense concertó la inversión de los recursos para PROCEDA para los municipios de Palestina y Marmato.
Con la convocatoria para la presentación de Proyectos Ciudadanos de Educación Ambiental (PROCEDA) en el departamento de Caldas, realizada en articulación con la
Fundación FESCO, se logró acceder a capital semilla para la ejecución del “Proyecto Ambiental con comunidades Negras, Afrocolombianas, para generar Cultura y Cuidado 
Ciudadano de espacios comunitarios en la vereda Guamal del municipio de Supía”"</t>
  </si>
  <si>
    <t>Estrategias de educación ambiental diseñadas e implementadas para el abordaje de las necesidades ambientales propias del territorio afrocolombiano de Caldas</t>
  </si>
  <si>
    <t>Estrategias implementadas con las comunidades Afrocolombianas de Caldas, para la educacion ambiental y el abordaje de las necesidades ambientales propias del territorio</t>
  </si>
  <si>
    <t xml:space="preserve">1). Contrato 175 de 2019, se adelantaron actividades de sensibilización y educación ambiental sobre gestión integral de residuos sólidos en el sector de El Llano del municipio de Marmato:  20 talleres sobre el Manejo de Residuos sólidos, jornadas ambientales de limpieza
2). Se suscribe Convenio 207/2020 con la alcaldía municipal de Supía, la Empresa de Aseo y Servicios Públicos de Supía EMDAS S.A E.S.P y la Corporación Autónoma Regional Caldas (Corpocaldas), orientado a la separación en la fuente de los residuos sólidos de origen, código de colores (Resolución 2184 de 2019), dirigido a la comunidad en general, instituciones públicas y privadas, comités ambientales escolares de colegios y. juntas de acción comunal, comunidades indígenas y afrodescendientes del municipio de Supía.
3). Estrategia de educación para el abordaje de la Gestión de riesgos ambientales y el cambio climático. - mediante el establecimiento demostrativo de 2 huertas comunitarias agroecológicas. </t>
  </si>
  <si>
    <t xml:space="preserve">Se encuentra en proceso de consolidación el plan de acción en torno a la Agenda Ambiental Afrocaldense, desde donde se ha definido como una de las líneas estratégicas la Promoción de la Etnoeducación en la Educación Ambiental </t>
  </si>
  <si>
    <t>1.  "Día de la Afrocolombianidad”, con una “Feria gastronómica” realizada el 25 de mayo de 2022 en el corregimiento de Arauca- Palestina
2.  se respaldó la participación de delegados de la Mesa Ambiental Afrocaldense en la versión “XXVI del Festival de Música del Pacífico Petronio Álvarez” 
3.  durante la Semana Ambiental de Caldas, con el Conversatorio: Acciones ambientales diferenciales, procesos de incidencia con comunidades Negras, Afrocolombianas, Raizales y Palenqueras de Caldas - NARP</t>
  </si>
  <si>
    <t xml:space="preserve">En marco de estrategias de educación ambiental se han realizado las siguientes iniciativas:
•	Acompañamiento en la implementación de iniciativas de manejo de residuos sólidos en territorios afrocolombianos de Caldas (Marmato), huertas comunitarias agroecológicas en Anserma y Victoria.
•	Talleres de elaboración de manualidades artesanales con enfoque ambiental en la Fundación FUNAMAR de La Dorada
•	Jornada de sensibilización ambiental y siembra en marco del día de La Afrocolombianidad en Manizales.
•	Conversatorio: Acciones Ambientales Diferenciales.
•	Procesos de incidencia con comunidades Negras, Afrocolombianas, Raizales y Palenqueras.
•	Feria gastronómica” realizada  en el  corregimiento de Arauca- Palestina. 
•	Participación de delegados de la Mesa Ambiental 
•	Afrocaldense en la versión “XXVI del Festival de Música del Pacífico Petronio Álvarez. </t>
  </si>
  <si>
    <t>Proyecto 12: Participación activa para la incidencia en la gestión ambiental</t>
  </si>
  <si>
    <t xml:space="preserve">Apoyo y fortalecimiento a las instancias institucionales de participación para la gestión ambiental territorial </t>
  </si>
  <si>
    <t>Instancias de participación institucional para la gestión ambiental territorial apoyadas</t>
  </si>
  <si>
    <t>1). Consejos Territoriales de Planeación y las Comisiones de Ordenamiento Territorial que incorporan la dimensión ambiental
2). Consejos Departamental y Municipales de Gestión de Riesgo.
3) Fortalecimiento del SIDAP Caldas
4) mesa de paramos 
5) cotsa:  a) Cambio climático, b) Residuos sólidos c) Agua d) Centrales de beneficio animal e) Zoonosis f) Plaguicidas
6) Mecanismos de articulación al sistema nacional de cambio climático. (NODO REGIONAL)
7). comités del sistema nacional para la prevención y atención de desastres SNPAD, en el nivel departamental y municipal</t>
  </si>
  <si>
    <r>
      <rPr>
        <sz val="8"/>
        <color rgb="FF000000"/>
        <rFont val="Arial"/>
      </rPr>
      <t>Instancias de participación institucional para la gestión ambiental territorial apoyadas:
1) Consejos Territoriales de Planeación y las Comisiones de Ordenamiento Territorial que incorporan la dimensión ambiental.  se adelantaron talleres en 11 nodos creados en el departamento, registrándose una asistencia de 215 líderes ambientales.
2) Apoyo a Consejo de Desarrollo Sostenible del municipio de Marmato.
3) Fortalecimiento de los procesos de participación social en los Consejos Departamental y Municipales de Gestión de Riesgo.  Socializacion, entrega y apropiacion de obras de infraestructura en la comunidad, identificacion de sitios criticos de riesgo. 
4). Apoyo a operación de instancias SIDAP; SIRAP, SILAP, Mesa de páramos.
5) Fortalecimiento del COTSA (Consejos Territoriales de Salud Ambiental)
6) Mecanismos de articulación al sistema nacional de cambio climático. (Nodo Regional de Cambio Climático Eje Cafetero)</t>
    </r>
  </si>
  <si>
    <t xml:space="preserve">1. Consejos Territoriales de Planeación y las Comisiones de Ordenamiento Territorial que incorporan la dimensión ambiental - 2. Apoyo a Consejos de Desarrollo Sostenible 
2. Fortalecimiento de los procesos de participación social en los Consejos Departamental y Municipales de Gestión de Riesgo
3.  Apoyo a operación de instancias SIDAP; SIRAP, SILAP, Mesa de páramos
4.  Fortalecimiento del COTSA (Consejos Territoriales de Salud Ambiental)
5.  Nodo regional de cambio climatico </t>
  </si>
  <si>
    <t>A) Consejos Territoriales de Planeación y las Comisiones de Ordenamiento Territorial que incorporan la dimensión ambiental
 B) Apoyo a operación de instancias SINAP; SIRAP, SILAP, Mesa de páramos
 C) Fortalecimiento del COTSA (Consejos Territoriales de Salud Ambiental)
 D) Apoyo mesa de diálogo interinstitucional Manizales Cómo Vamos</t>
  </si>
  <si>
    <t>Instancias de participación institucional para la gestión ambiental territorial apoyadas
•	En el marco el Convenio realizado entre Corpocaldas y la Federación de ONG de Caldas se orientaron acciones tendientes hacia el fortalecimiento de las capacidades de la sociedad civil y los Consejos territoriales de planeación para la incidencia en la Gestión Ambiental Territorial a traves de talleres en el 2021 en once nodos creados en el Departamento, registrando una asistencia de 215 lideres Ambientales
•	asistencia técnica a los consejos municipales para la gestión del Riesgo de desastres  en los Municipios de Risaralda, Filadelfia, Manzanares y Marmato, Manizales, Salamina, Marmato, Aranzazu, Neira y Anserma; donde además se realizaron 6 encuentros de sensibilización sobre las responsabilidades compartidas en los ejercicios de reducción y mitigación del riesgo con las comunidades
•	Se socializo el trabajo adelantado con los Sistemas de Alertas Tempranas Participativas y los Grupos Locales del Clima 
•	Para el año 2022 con algunas Organizaciones de la sociedad civil, ONGs y Consejos Territoriales de Planeación (CTP) se realizaron 12 talleres para el fortalecimiento de las capacidades de las organizaciones para su incidencia en la planificación Ambiental ofreciendo formación concreta y certificada en un programa liderado por Corpocaldas en asocio con la Universidad Católica de Manizales en 12 nodos donde se trataron temas relacionados con “espacios de incidencia para la gestión ambiental del territorio, “representación, representatividad, comunicación y redes de trabajo” y “mecanismos de participación y plan de acción en espacios de incidencia”. 
•	En convenio con la Universidad Autónoma de Manizales se viene desarrollando una estrategia de fortalecimiento de articulación y fortalecimiento 476 del plan de acción del Nodo Regional de Cambio Climático Eje Cafetero: apalancar a través de capital semilla el desarrollo de proyectos de mitigación y adaptación propuestos en el plan de acción del nodo de cambio climático del eje cafetero.</t>
  </si>
  <si>
    <t xml:space="preserve">Apoyo y fortalecimiento a las instancias de participación de la sociedad civil para la gestión ambiental territorial </t>
  </si>
  <si>
    <t>Instancias de participación de la sociedad civil para la gestión ambiental territorial apoyadas</t>
  </si>
  <si>
    <t>1). se implementa el proceso para promover conjuntamente el fortalecimiento de las capacidades sobre participación en la gestión y gobernanza ambiental de las organizaciones de la sociedad civil presentes en los municipios de Manizales, Villa María, Palestina, Neira y Chinchiná
2). convenio 155 de 2020 entre la Federación de ONGs de Caldas para el fortalecimiento de la sociedad Civil, ONGs y organizaciones de base 
3) Mesa de biodiversidad Urbana
4). fortalecimiento de la Red de Jóvenes de Ambiente en el Departamento de Caldas.  Nodos La Dorada, Villamaría, Viterbo, Manizales, Palestina (Arauca), Filadelfia, Riosucio, Pensilvania, Manzanares, Pácora, Chinchiná y Neira
5). Acompañamiento y dinamización de procesos “Plan de Acción Integral – PAI”.</t>
  </si>
  <si>
    <t>1) Adelantamos la Estrategia departamental para el fortalecimiento de las capacidades de Gobernanza ambiental en las Juntas de acción Comunal, organizaciones de la Sociedad Civil (ONGs) y Grupos o mesas ambientales. Donde hoy se cuenta con el Mapeo de 810 actores sociales en el Departamento, se han Identificado experiencias en gobernanza ambiental por cada subregión, se han realizado 11 talleres para el fortalecimiento de capacidades en participación, incidencia y construcción de agendas.
2) Por otro lado se Realizaron jornadas ambientales a través de encuentros de diálogo con la comunidad en el Corregimiento de Montebonito, municipio de Marulanda  y Corregimiento de San Diego.
3) Apoyo proyecto de participación ciudadana en los asuntos ambientales de cinco barrios de la Comuna Ecoturística Cerro de Oro de la Ciudad de Manizales a través de procesos de formación sobre reportería ambiental con líderes locales. 
4) Con el el Comité Intergremial de Caldas se desarrolla el convenio para el reconocimiento e impulso de iniciativas ciudadanas orientadas al mejoramiento de la calidad de vida y el desarrollo rural de la Subregión Centro Sur.
5) Se Apoya el fortalecimiento de la Red de Jóvenes de Ambiente en el Departamento de Caldas:  hoy contamos con 13 nodos conformados:  Dorada Villamaría Viterbo Arauca Manizales Riosucio Neira Pensilvania Norcasia Samaná Victoria, La Merced</t>
  </si>
  <si>
    <t xml:space="preserve">1.  Juntas de acción Comunal, organizaciones de la Sociedad Civil (ONGs) y Grupos o mesas ambientales. Estrategias para la transformación de conflictos ambientales y el fortalecimiento de los mecanismos de control social, en el Norte de Caldas (Aguadas, Pácora, La Merced, Salamina, Filadelfia, Aránzazu, Neira y Manizales). 
2.  Mapeo de actores sociales de caldas: 590 organizaciones de la sociedad civil que tienen relación con la gestión ambiental,caracterizados y  distribuidos por municipio, subregión, tipología y criterio, información valiosa para realizar filtros de acuerdo a los propósitos específicos
3. Mesa de biodiversidad Urbana 
4. Mesa de calidad del aire 
5. fortalecimiento de la Red de Jóvenes de Ambiente en el Departamento de Caldas.  17 nodos coformados </t>
  </si>
  <si>
    <t>A) apoyo a los procesos ciudadanos de participación ciudadana, su formación, empoderamiento y conocimiento de los asuntos ambientales de Caldas, desde esta perspectiva se apoyan acciones que se orientan a la apropiación de conocimiento ambiental desde las organizaciones sociales, las organizaciones de la sociedad civil, las ONGS y las organizaciones de control social, entre ellas las veedurías ambientales
 B) Socialización del Programa de Transparencia y Ética Pública de Corpocaldas 
 C) Semana de la Participación ciudadana
 D) Apoyar el fortalecimiento de la Red de Jóvenes de Ambiente en el Departamento de Caldas
 E) Acompañamiento y dinamización de procesos “Plan de Acción Integral – PAI”</t>
  </si>
  <si>
    <t xml:space="preserve">"Mediante convenio entre la Federación de ONGs de Caldas y Corpocaldas se realizó:
•	Mapeo de 810 actores sociales en el Departamento. 
•	6 jornadas ambientales de Corpocaldas;  comunas del municipio de Manizales, Municipio de Marulanda (corregimiento de Monte bonito), Corregimiento de San Diego, municipio de Samaná
•	Adelantamos la Estrategia departamental para el fortalecimiento de las capacidades de Gobernanza ambiental en las Juntas de acción Comunal, organizaciones de la Sociedad Civil (ONGs) y Grupos o mesas ambientales. 
•	11 talleres para el fortalecimiento de capacidades en participación, incidencia y construcción de agendas
Mediante Convenio con ASDEGUIAS Caldas se fortalece la Red de Jóvenes de Ambiente en el Departamento de Caldas.  Nodos La Dorada, Villamaría, Viterbo, Manizales, Palestina (Arauca), Filadelfia, Riosucio, Pensilvania, Manzanares, Pácora, Chinchiná y Neira.  26 Nodos conformados y fortalecidos en temas como interpretación ambiental, formulación de proyectos, especializaciones ambientales y emprendimiento sostenible. Adicionalmente se constituyó un banco de proyectos que apoya económicamente los proyectos en estado maduro de los nodos. En total se apoyaron con capital semilla 9 proyectos  en los municipios de Manizales, Riosucio, Viterbo, La Dorada, tres subregionales y uno departamental.
Apoyo proyecto de participación ciudadana en los asuntos ambientales de cinco barrios de la Comuna Ecoturística Cerro de Oro de la Ciudad de Manizales a través de procesos de formación sobre reportería ambiental con líderes locales.
Con el Comité Intergremial de Caldas se apoya y exalta procesos en la subregión Centro sur en los cuales se destaquen experiencias orientadas al Desarrollo sostenible de la región. Se destacan 50 iniciativas. (10 por municipio Manizales, Chinchiná, Neira, palestina y Villamaría) de los cuales se seleccionan 12 iniciativas finalistas donde se construyen propuestas de desarrollo ambiental Comunitario
Se desarrollaron estrategias para la transformación de conflictos ambientales y el fortalecimiento de los mecanismos de control social, en el Norte de Caldas (Aguadas, Pácora, La Merced, Salamina, Filadelfia, Aránzazu, Neira y Manizales). 
Acompañamiento y dinamización de procesos “Plan de Acción Integral – PAI”.""
Mesa de biodiversidad Urbana 
Mesa de calidad del aire "			
			</t>
  </si>
  <si>
    <t>Estrategias para garantizar la participación ciudadana en la gestión ambiental y el control social</t>
  </si>
  <si>
    <t>Estrategias implementadas en torno a mecanismos de control social y mejoramiento de la gestión pública</t>
  </si>
  <si>
    <t>1). Se realizó la convocatoria ciudadana para la participación de las auditorias visibles en los municipios de Neira, Pacora, Pensilvania, Marmato, Anserma y Risaralda, departamento de Caldas. 
2) Foro comunitario Información, socialización y análisis de la Problemática de los Humedales en la Dorada
3) Presentación del Plan de Manejo de los Humedales. Identificación de especies amenazadas en los humedales de Laguna de San Diego, Charca de Guarinocito, Ciénega de Tortugas y Pozo Azul. Y Construcción de Plan de acción para la conservación de especies amenazadas en los humedales. A esta actividad asisten más de 120 personas
4). 4 talleres  sobre  Veedurías ambientales en áreas de humedales de alta Montaña  en Marulanda y Montebonito
5) Jornada ambiental marulanda</t>
  </si>
  <si>
    <t xml:space="preserve">En el marco del convenio con las ONG de Caldas se realiza caracterizacion de las veedurias ambientales de Caldas, talleres de fortalecimiento de sus capacidades, se conforma la red de veedurias y se da informe de rendicion de cuentas en las tematicas que estas han priorizado </t>
  </si>
  <si>
    <t>1. Acompañamiento y Fortalecimiento de Veedurías ambientales en el Departamento
2.  Socialización Plan Anticorrupción 
3.  Semana de la participación ciudadana 2022
4.  Salida de campo a Maltería y Las Margaritas con miembros de Corpocaldas y la Veeduría ambiental vecina. 
5.  Rendición de Cuentas – Corpocaldas - 255 asisten de manera presencial , registro virtual de 1772 con interaccion en redes sociales</t>
  </si>
  <si>
    <t>Reunión de Seguimiento y Control con Veedurías, RIAV y movimientos ambientales
 Espacios de participación social para la rendición de cuentas y auditorías visibles.
 fortalecimiento Política de Participación Ciudadana – FURAG</t>
  </si>
  <si>
    <t xml:space="preserve">Se realizaron procesos para el fortalecimiento de la Veedurías ambientales a traves de  talleres donde se discute sobre la importancia de la gobernanza ambiental en la preservación del medio ambiente, se llevaron a cabo jornadas ambientales en la Galería, la Enea y se realizaron encuentros con la red de Veedurías en Manizales y Caldas. 
Con la Universidad Católica de Manizales se adelantaron acciones con las Veedurías Ciudadanas ambientales para la realización de jornadas de rendición de cuentas de la Corporación. 
Reuniones con veedurías ambientales con énfasis en humedales, entre ellas: la veeduría ciudadana ambiental vecina, Veeduría Guarinocito, Veeduría mujeres cimarronas y Veeduría ciudadana ambiental de Pacora.  En estas jornadas se hace la Presentación del Plan de Manejo de los Humedales, se hace Identificación de especies amenazadas en los humedales de Laguna de San Diego, Charca de Guarinocito, Ciénega de Tortugas y Pozo Azul. Y Construcción de Plan de acción para la conservación de especies amenazadas en los humedales. A esta actividad asisten más de 120 personas
talleres  sobre  Veedurías ambientales en áreas de humedales de alta Montaña  en Marulanda y Montebonito
Se realizó un Foro regional sobre Gobernanza ambiental de Caldas en modalidad Virtual. 
Diplomado para la Gobernanza ambiental donde se contó con la participación de 170 estudiantes, 20 Consejos de Cuenca y 7 Países. 
En desarrollo de la Semana de la Participación Ciudadana se llevó a cabo la actividad académica: participación ciudadana para la gobernanza ambiental en el Teatro Los Fundadores, donde se expuso el PGAR y el Plan de Acción de Corpocaldas, salida de campo a Maltería y Las Margaritas con miembros de Corpocaldas y la Veeduría ambiental vecina, encuentro de aprestamiento con la Red Institucional de Apoyo a las Veedurías – RIAV. 
Socialización Plan Anticorrupción en cada una de las vigencias y  fortalecimiento Política de Participación Ciudadana – FURAG"	</t>
  </si>
  <si>
    <t>Estrategias de participación  para la transformación de conflictos ambientales diseñadas y en ejecución</t>
  </si>
  <si>
    <t>Estrategias de participación para la transformación de conflictos ambientales implementadas</t>
  </si>
  <si>
    <t>Se ejecuta el Convenio 250 de 2020  el cual tiene como objeto la construcción de la línea base de los conflictos ambientales de Caldas  y la estructuración de un protocolo para su manejo y Transformación.</t>
  </si>
  <si>
    <t xml:space="preserve">En el marco del convenio con la Universidad Autonoma de Manizales se construye la linea base de los conflictos ambientales en el departamento.  se identificaron 159 conflictos en la lectura de los POMCAS donde el mayor  componente esta relacionado con los conflictos asociados al uso del suelo y agua.  </t>
  </si>
  <si>
    <t>Linea base de Conflictos socioambientales
Conformado GACSA (Grupo de atención a Conflictos socio ambientales y Se generó foro con comunidad, niños y jóvenes de la Dorada para reflexionar sobre la protección del río Magdalena y los recursos naturales con niños y jóvenes alrededor de un proyecto deportivo y social llamado “Súper H – Recorriendo el río Magdalena”</t>
  </si>
  <si>
    <t>Protocolo para la gestión y transformación de los conflictos ambientales - guía técnica de detección análisis y transformación. 
 Política de Gobernanza Ambiental y Transformación de Conflictos</t>
  </si>
  <si>
    <t>En el marco del convenio con el Centro de Estudios Ambientales CEA de la Universidad Autónoma de Manizales UAM y Corpocaldas se construyó una línea base de los conflictos ambientales y se definieron estrategias participativas para la transformación de los conflictos. Asimismo, se avanzó en la caracterización de los Conflictos Ambientales en Caldas donde se encontraron 159 conflictos en la lectura de los POMCAS donde la gran mayoría la gran mayoría (70%) de ellos se encuentran enmarcados en los componentes de uso del suelo y agua. Se construye protocolo para transformación de dichos Conflictos, se diseña y produce material didáctico asociado al Instrumento (audiovisual - Digital - APP -interactivo - plataforma de seguimiento y atención a conflictos ambientales). De igual forma se elabora una herramienta digital para la gestión de los conflictos ambientales en el Departamento (survey 123) y es para uso exclusivo de celulares. 
Para el 2022 se encuentra Conformado GACSA (Grupo de atención a Conflictos socio ambientales).  Se generó foro con la comunidad, niños y jóvenes de la Dorada para reflexionar sobre la protección del río Magdalena y los recursos naturales con niños y jóvenes alrededor de un proyecto deportivo y social llamado “Súper H – Recorriendo el río Magdalena</t>
  </si>
  <si>
    <t>Procesos de participación  en territorios indígenas para la transformación de conflictos ambientales</t>
  </si>
  <si>
    <t>Instancia de participación fortalecidas en territorios indigenas para la transformación de conflictos ambientales</t>
  </si>
  <si>
    <t>1). estructura de diálogo con las comunidades y organizaciones indígenas a través de un Diálogo permanente con CRIDEC, la presencia de un enlace indígena, reuniones con las autoridades de las 17 comunidades (Resguardos, Parcialidades y Asentamientos), priorización conjunta de acciones a emprender y gestión complementaria con otras entidades del orden municipal, departamental y nacional. 
2). acompañamiento/asistencia a las 4 sesiones de la Mesa Permanente de Concertación entre las Autoridades Indígenas, agrupadas en el CRIDEC y el Gobierno Departamental (Ordenanza 856 de 2019).
3). Se ha adelantado, bajo convocatoria de Minambiente y participación activa de las CRIDEC, CARs y Municipios presentes en áreas limítrofes de los departamentos de Antioquia , Risaralda y Caldas, sobre la cordillera occidental, así como con el concurso de otras entidades departamentales y nacionales, un análisis y promoción de la actuación coordinada y conjunta, en torno a las problemáticas y conflictos socioambientales presentes en esta área limítrofe.</t>
  </si>
  <si>
    <t xml:space="preserve">En desarrollo de la gestión ambiental diferencial con pueblos indígena afirmó durante el 2021 los mecanismos de dialogo, concertación y trabajo conjunto con las autoridades y comunidades indígenas del departamento de Caldas (recogidas en los 6 resguardos, 8 parcialidades y 3 asentamientos indígenas). Esta se basa en la proyección de la Agenda Ambiental Indígena, los acuerdos de consulta previa de los ríos Tapias y Risaralda, las obligaciones derivadas de sentencias y acciones populares, la interacción directa con las autoridades de cada uno de los 17 cabildos, así como las visitas a los territorios con el acompañamiento de CRIDEC y las autoridades indígenas tradicionales respectivas </t>
  </si>
  <si>
    <t>1. Fortalecimiento de las instancias de participación ambiental conformadas en territorios indígenas - mesa ambiental Departamental.
2.  Con el Resguardo Nuestra Señora Candelaria de La Montaña se suscribe el documento que reglamenta el procedimiento a ser utilizado para otorgar concesiones de agua dentro del territorio del Resguardo, este servirá de herramienta para hacer control y seguimiento a quienes soliciten y se les otorguen estos permisos, respetando la autonomía de las comunidades Indígenas dentro de su territorio y las competencias que por Ley tiene la Corporación.
3. Mesa de concertación Recurso Forestal:  Espacio de concertación y diálogo entre Corpocaldas y el Resguardo de La Montaña para establecer mecanismos que nos lleven a realizar acciones conjuntas en relación con los recursos forestales del territorio, para su conservación, recuperación, aprovechamiento y sanciones</t>
  </si>
  <si>
    <t xml:space="preserve">Se han venido adelantando acciones encaminadas a transformar los conflictos ambientales en las comunidades indigenas: 
En 2020 se inicia diálogo con las comunidades indígenas agrupadas en el CRIDEC a través de encuentros donde se evidencia la necesidad de tener interlocución permanente y directa con la Corporación, para lo cual se crea la figura de Enlace para Comunidades Indígenas que hará parte del enfoque diferencial étnico implementado en Corpocaldas, entre otras funciones se encargaria de realizar proceso de relacionamiento institucional y comunitario para la priorización conjunta de acciones y gestiones concertadas entre Autoridades Indígenas, Corpocaldas y otras entidades del orden municipal, departamental y nacional; acompañamiento/asistencia a las 4 sesiones de la Mesa Permanente de Concertación entre las Autoridades Indígenas y Gobierno Departamental (Ordenanza 856 de 2019), participar bajo la convocatoria de Ministerio de Ambiente y participación activa de las CRIDEC, CARs y Municipios presentes en áreas limítrofes de los departamentos de Antioquia, Risaralda y Caldas, sobre la cordillera occidental, así como la promoción de la actuación coordinada y conjunta, en torno a las problemáticas y conflictos socioambientales presentes. 
Para el 2021 se establecieron los mecanismos de dialogo, concertación y trabajo conjunto con las autoridades y 17 comunidades indígenas del departamento de Caldas. Esta se basa en la proyección de la Agenda Ambiental Indígena, los acuerdos de consulta previa de los ríos Tapias y Risaralda, las obligaciones derivadas de sentencias y acciones populares, la interacción directa con las autoridades de cada cabildo y programar visitas a sus territorios 
Para el 2022 se fortalecen las instancias de participación ambiental conformadas en territorios indígenas - mesa ambiental Departamental. Con el resguardo La Montaña se suscribe el acuerdo respecto de los tramites ambientales de concesión de aguas y permisos de vertimientos este servirá de herramienta para hacer control y seguimiento a quienes soliciten y se les otorguen estos permisos de usufructo del agua, Mesa de concertación Recurso Forestal:  Espacio de concertación y diálogo entre Corpocaldas y el Resguardo de La Montaña para establecer mecanismos que nos lleven a realizar acciones conjuntas en relación con los recursos forestales del territorio. 
Para el 2023 se cotinuan desarrollando las acciones contempladas en la agenda Ambiental diferencial y se viene trabajando en el Plan de Ordenamiento del Recurso Hídrico (PORH) de la quebrada Aguas Claras en la parcialidad Cartama en el municipio de Marmato.			
		</t>
  </si>
  <si>
    <t>Estrategia conjunta de resolución de conflictos, construcción de confianza y comunicación efectiva entre las instancias de autoridad de las poblaciones afrocolombianas de Caldas y la corporación</t>
  </si>
  <si>
    <t>Estrategias desarrolladas con las comunidades Afrocolombianas de Caldas para la resolución de conflictos, construcción de confianza y comunicación efectiva</t>
  </si>
  <si>
    <t>Se adelantaron diálogos a fin de iniciar la formulación de la propuesta de diplomado, la cual se espera integre aspectos propios de la Ley 70, procesos organizativos NARP, enfoque de derechos, gestión ambiental diferencial, entre otros aspectos. 
En desarrollo del Contrato 194 de 2020, se apoya los procesos organizativos y en dicha dirección la identificación de requerimientos de fortalecimiento de las comunidades en términos de cualificación de su gestión ambiental.</t>
  </si>
  <si>
    <t>Actividades adelantadas en el marco de la meta 
Diplomado para el fortalecimiento organizativo de las comunidades afrocolombianas de Caldas
Escuela de liderazgo del AGUA</t>
  </si>
  <si>
    <t>1.  Diplomado para el fortalecimiento organizativo de las comunidades afrocolombianas del departamento de Caldas:  Con ESAP - CORPOCALDAS.  5 modulos - 28 participantes 
2.  Establecimiento del mecanismo de Enlace Ambiental NARP</t>
  </si>
  <si>
    <t xml:space="preserve">Se han desarrollado estrategias con las comunidades Afrocolombianas para la resolución de conflictos construcción de confianza y comunicación afectiva: 
•	Afianzamiento de  mecanismos de dialogo, concertación y articulación con las comunidades, a través de la Mesa Ambiental Afrocaldense; la concreción de la Agenda Ambiental afrodescendiente de Caldas y su plan de acción 
•	Enlace ambiental NAR que ha permitido la socialización y apropiación de la Agenda ambiental conjunta formulada para la gestión ambiental en los territorios afrodescendientes.
•	Diplomado para el fortalecimiento organizativo de las comunidades afrocolombianas de Caldas 
•	Fortalecimiento del relacionamiento insitucional y organizativo NARP  en la gestión Ambiental, 1 reunión con la dirección General y 14 reuniones de La Mesa Ambiental Afrocaldense"			</t>
  </si>
  <si>
    <t>Proyecto 13: Comunicación para la acción ambiental colaborativa</t>
  </si>
  <si>
    <t>Estrategias de comunicación para la apropiación del patrimonio natural implementadas</t>
  </si>
  <si>
    <t>Estrategias implementadas para la apropiación del patrimonio natural</t>
  </si>
  <si>
    <t>1). Plataforma colaborativa para la generación y difusión de conocimiento ambiental de las cuencas hidrográficas - Red Ambiental de Caldas (RAC)
2). Celebracion efemerides:  Día Mundial de los Humedales, Día Mundial de la Vida Silvestre, Día Internacional de los Bosques, Día Internacional de la Tierra, Día Internacional de la Concienciación del Ruido, Día Nacional del Árbol, Día Internacional de las Aves, Día Mundial del Medio Ambiente, Día Internacional de la Preservación de la Capa de Ozono
3). Diálogos Ambientales en Red
4). Socializacion instrumentos de planificacion ambiental 
5) Insumos para medios de comunicación
6) piezas audiovisuales para promocionar el Festival de Poesía y Ecocrea
7) XV Concurso de Fotografía Ambiental
8) XV Semana Ambiental</t>
  </si>
  <si>
    <t>RAC - Red ambiental de Caldas:  Durante el 2021, esta plataforma sirvió de vitrina para visibilizar las acciones que se adelantaron desde los Proyectos Ambientales Escolares de Caldas y que se presentaron durante el Primer Simposio Virtual de Experiencias PRAE que se llevó a cabo durante la XVI Semana Ambiental en el mes de octubre.  Desde la plataforma se realiza la inscripcion para los concejeros de cuenca - la red de jovenes de ambiente y las vedurias y lideres ambientales.  se realizó el proceso formativo “Nuestra voz y los Productos Radiofónicos</t>
  </si>
  <si>
    <t xml:space="preserve">13 en vivo, asociados a celebraciones ambientales y eventos institucionales
Campañas educomunicativas sobre efemérides ambientales para transmitirlas a través de los diferentes medios institucionales
Estrategia para difundir los trámites ambientales que se adelantan ante Corpocaldas
Con motivo de la celebración de los 50 años de Corpocaldas se hizo la producción de un documental por 17 áreas naturales protegidas de Caldas
XVI del Concurso de Fotografía Ambiental:  857 fotografías, presentadas por 123 participantes </t>
  </si>
  <si>
    <t>1. a Red Ambiental de Caldas (RAC), un espacio creado para gestionar la comunicación desde el conocimiento ambiental, la apropiación 
 del conocimiento y la acción colaborativa.
 2. Realizar Diálogos Ambientales en Red: durante el primer semestre se llevaron a cabo 6 Conversatorios virtuales.
 3. Realizar la versión XVII del Concurso de Fotografía Ambiental: con el propósito de convocar nuevos públicos y colectivos de fotografía, se hizó una 
 alianza con la Sociedad Caldense de Ornitología y Birds Colombia, con quienes se abrió la Categoría de Aves de Colombia.
 4. Emitir códigos cívicos o mensajes institucionales- TESOROS DE CALDAS 
 5. piezas comunicativas sobre trámites ambientales</t>
  </si>
  <si>
    <t xml:space="preserve">"En el año 2020 se creó la plataforma colaborativa para la difusión del conocimiento ciudadano ambiental denominada Red Ambiental de Caldas (RAC). Durante su implementación ha tenido 3 fases: la primera estuvo orientada a capacitar a integrantes de los consejos de cuenca y de los CIDEAM en competencias comunicativas que permitieran contar historias ambientales en otros formatos.  En la segunda fase, el aprendizaje estuvo orientado al manejo de temas ambientales y sirvió de vitrina para visibilizar las acciones que se adelantaron desde los Proyectos Ambientales Escolares de Caldas. Con la tercera, se buscó dejar capacidades instaladas en comunicadores y periodistas con el fin de que identificaran el portal web www.redambientaldecaldas.com como un canal para presentar sus contenidos ambientales.  En total participaron 129 personas.
Se realizaron 4 versiones del Concurso de Fotografía Ambiental, en las cuales se recibieron 5302 imágenes.  Con una selección de las mejores imágenes se llevaron a cabo 3 exposiciones itinerantes y 1 exposición fija en la Torre de Chipre de Manizales. 
Año	Fotografías recibidas	Número de participantes
2020	          2312	                            317 
2021	          1346	                            247
2022	           857	                            123
2023	           787	                            189
De la mano con educación ambiental se realizaron 3 Semanas Ambientales.
Se transmitieron más de 70 Diálogos Ambientales o eventos de Corpocaldas sobre temas ambientales, por las redes sociales institucionales y la página Web.
Como estrategia comunicativa para generar la apropiación del conocimiento del patrimonio natural, se implementó la estrategia Historias Ambientales de mi Tierra, en la que a través de contenidos radiofónicos o productos audiovisuales se narraron experiencias de quienes buscan la sostenibilidad del territorio.  En total se realizaron 31 podcast y videos bajo esa marca sombrilla.  
Con el propósito de generar la apropiación del conocimiento y la protección de áreas de interés ambiental de Manizales, se conceptualizaron, diseñaron e instalaron dos vallas en el Bosque Los Caracoles.  
Se conmemoraron cerca de 20 celebraciones ambientales anuales a través de las redes sociales y los canales institucionales. 
En el año 2022, lideramos con la subdirección de Evaluación y Seguimiento Ambiental la Semana del Agua con una programación variada: Concierto de la Orquesta de Cámara, agenda académica y actividades lúdicas y educativas. 
Se adelantó una estrategia de comunicación para difundir los trámites ambientales y el procedimiento para iniciarlos y hacerles seguimiento."			
			</t>
  </si>
  <si>
    <t>Estrategias de comunicación ambiental soportadas  en TIC</t>
  </si>
  <si>
    <t>Estrategias TIC implementadas</t>
  </si>
  <si>
    <t>RAC - Contenidos ambientales y publiucacion Blog</t>
  </si>
  <si>
    <t>La estrategia de comunicación soportada en TIC estuvo orientada a hacer un homenaje al patrimonio natural del departamento de Caldas, con motivo de la celebración de los 50 años de la Corporación Autónoma Regional.
se diseñó la estrategia “Tesoros ambientales de Caldas”, de la cual se deriva el nombre CALDAS BIODIVERSA como marca de los productos y entregables interactivos de las áreas protegidas de Caldas. El entregable diseñado contiene 9 fichas interactivas, cada una con 2 áreas protegidas en las que se muestran los aspectos más relevantes de cada lugar
se Realiza el XV Concurso de Fotografía Ambiental liderado por corpocaldas y CHEC: se recibieron en total 1.346 fotografías, presentadas por 247 participantes en 3 categorías: Fauna, Flora y Fungy, y Paisajes Naturales. Adicionalmente, se creó una categoría alterna en redes sociales dirigida a aquellos aficionados de la fotografía que con sus celulares.
Se realizan durante la vigencia 2021 14 Diálogos Ambientales o transmisiones de Corpocaldas sobre temas ambientales, al igual que las campañas para celebrar 25 efemerides ambientales</t>
  </si>
  <si>
    <t xml:space="preserve">Caldas Biodiversa se entregó un impreso con información sobre cada área natural protegida registrada y un código QR que direcciona a la página web www.caldasbiodiversa.com donde están disponibles paisajes sonoros, podcast, cápsulas, entre otros productos.
Fortalecimiento de la Red Ambiental de Caldas (RAC) 
durante el año 2022 se terminó la migración de información del portal anterior a la actual página web (ahora segura: https); </t>
  </si>
  <si>
    <t>se adelanta un libro interactivo para visibilizar el paso del tiempo y la evolución del territorio gracias a la construcción de obras civiles. Este documento contará con recursos visuales, escritos y multimedia con fotografías, mapas, información de consulta, datos de interés y resultados sobre su impacto en el desarrollo del territorio</t>
  </si>
  <si>
    <t xml:space="preserve">"En 2020, con la conformación de la Red Ambiental de Caldas, se construyó el portal web, en el cual se publicaron los contenidos ambientales generados por los participantes.
En los años 2021 y 2022, la estrategia de comunicación soportada en TIC estuvo orientada a hacer un homenaje al patrimonio natural del departamento de Caldas, con motivo de la celebración de los 50 años de la Corporación Autónoma Regional.   La ejecución de esta actividad se adelantó a través del Convenio de Asociación 092 con la ONG NATIVA y tuvo como escenario 17 áreas naturales protegidas, en las cuales se realizó un trabajo de campo liderado por un equipo audiovisual con amplia experiencia en la realización de documentales y un grupo de biólogos que verificaron los recorridos diurnos y nocturnos.  
Para el cumplimiento de este objetivo se diseñó la estrategia “Caldas Biodiversa Tesoros ambientales”, que consta de un documental y un entregable impreso con 9 fichas interactivas, cada una con 2 áreas protegidas en las que se muestran los aspectos más relevantes de cada lugar.  El documental se ha presentado en más de 30 escenarios de Caldas.
Actualmente, se adelanta la realización de un producto sobre la historia de la gestión del riesgo en Caldas que incluye un libro interactivo, una landing page y un video. </t>
  </si>
  <si>
    <t>Estrategias de comunicación  organizacional y de relacionamiento</t>
  </si>
  <si>
    <t>Estrategias de comunicación organizacional y de relacionamiento ejecutadas</t>
  </si>
  <si>
    <t>Estrategias de fortalecimiento institucional
Estrategias de comunicación interna
Estrategias de relacionamiento</t>
  </si>
  <si>
    <t>Estrategias de comunicación organizacional y de relacionamiento ejecutadas
- Blog Corpocaldas en Línea
- Actualízate Express
- Estrategia de Comunicaciones PIGA</t>
  </si>
  <si>
    <t>una estrategia de comunicación para difundir el Direccionamiento Estratégico (Una pausa con el director y promoción de la campaña institucional, #SoyCorpocaldas)
Acompañar a las diferentes subdirecciones en temas de comunicación, durante el desarrollo de eventos y acciones institucionales:  se emitieron 22 publicaciones - se enviaron 77 boletines
Apoyar la realización de la Semana de la Familia Corpocaldas
Participar en los diferentes comités de Comunicaciones
Fortalecer el relacionamiento con los medios de comunicación
fuimos la sede del Encuentro Nacional de Periodistas de las CAR.  En esta ocasión participaron 40 representantes de las Corporaciones Autónomas Regionales del país</t>
  </si>
  <si>
    <t>1. Comunicación organizacional
 2. Estrategias de relacionamiento
 3. 20 Boletines de Prensa
 4. 15 contenidos audiovisuales relacionados con campañas, notas periodísticas, registros de obras o proyectos emblemáticos
 5. 512 publicaciones en las redes sociales de Corpocaldas</t>
  </si>
  <si>
    <t xml:space="preserve">"Estrategias de relacionamiento
•	Se apoyó a la Dirección General desde el componente comunicativo (manejo de redes sociales, cubrimiento periodístico en eventos y reuniones). 
•	Los usuarios internos y externos cuentan con un documento guía para el manejo de la marca Corpocaldas.
•	Se coordinó el evento de lanzamiento de la estrategia Caldas Siembra, con los 27 alcaldes y el Gobernador de Caldas.
•	Por medio de productos audiovisuales y gráficos se diseñó una estrategia que permitiera socializar el Plan de Gestión Ambiental Regional (PGAR). 
•	Se conceptualizó y desarrolló la estrategia comunicativa para presentar el Plan de Acción 2020 – 2023, denominado ´Por un territorio resiliente y sostenible, y los informes de gestión de cada año.
•	Durante el Plan de Acción se participó en diferentes comités de comunicaciones relacionados con la ejecución de proyectos interinstitucionales: Mujeres Cafeteras Sembrando Sostenibilidad, VivoCuenca, Turismo Sostenible en Norcasia, Parque Nacional Natural Los Nevados, Subir a lo Bien, Agenda Ganadera, Cambio Climático - Acciones por la Vida y Superhéroes Urbanos, Gobernanza Forestal, entre otros. 
•	Se formuló y ejecutó una estrategia de Comunicación para visibilizar la Mesa Afro y para las comunidades indígenas.
•	Se participó en las convocatorias lideradas por ASOCARS, se gestionó la información solicitada y se dio cumplimiento a la estrategia comunicativa nacional.   En el año 2022 se llevó a cabo el Encuentro Nacional de Jefes de Prensa en Manizales.
•	Se alimentaron permanentemente los grupos y chat de periodistas. 
•	Se gestionaron más de 200 entrevistas a funcionarios y contratistas con medios locales, regionales, nacionales e internacionales.  Se ejecutaron 3 Planes de Medios que contaron con la participación de cerca de 50 periodistas del departamento cada uno.
•	Se definió la estrategia a implementar para la visibilidad del proyecto Otras Estrategias de Conservación (OEC) y se continuó con la ejecución de tácticas orientadas a difundir las acciones que se adelantan en el proyecto de Consolidación de la Gobernanza Forestal.
Estrategias de comunicación interna
Se acompañó desde el componente comunicativo a las diferentes áreas y subdirecciones de la Entidad para visibilizar el trabajo realizado.  Se diseñó la señalética del Punto de Atención al Usuario de Manizales para mejorar la accesibilidad por parte de los usuarios. 
Se continuó con la validación de contenidos y manejo de marca. 
Se avanzó en el proceso de carnetización institucional. 
Para dinamizar la comunicación interna durante la pandemia se diseñó el Boletín Corpocaldas en Línea, un medio de comunicación que buscaba dar salida a información de interés para funcionarios y contratistas a través de diferentes secciones.  Este se reemplazó con la nueva Intranet que fue puesta en operación en el 2023.
Se actualizó permanente el grupo de WhatsApp “Corpocaldas Comunica”.
Se realizaron 4 Semanas de la Familia Corpocaldas.  La actividad liderada por Gestión Humana y apoyada por Comunicaciones, contó con actividades como el reconocimiento a los mejores, tarde de cine familiar, concursos, entre otras actividades.
Se lideró el componente comunicativo del Plan Institucional de Gestión Ambiental (PIGA).
Se hizo el diseño de la marca Corpocaldas 50 años y se incluyó en documentos, impresos, boletines y material corporativo.  Además, se inició la campaña “Soy Corpocaldas”, como estrategia para fortalecer la identidad institucional y promover hábitos relacionados con la cultura organizacional y el buen gobierno. "			
			</t>
  </si>
  <si>
    <t>Estrategias de información y comunicación para la difusión de la gestión ambiental</t>
  </si>
  <si>
    <t>Estrategias de información y comunicación para la difusión de la gestión ambiental ejecutadas</t>
  </si>
  <si>
    <t>1). producción de 4 capítulos de ´La Tierra y Nosotros´, microprogramas infantiles
2). • Se adelantaron campañas comunicativas para generar conciencia ambiental: Caldas Siembra,  cuidado y conservación de zarigüeyas, uso eficiente de la energía y del agua, prevención del riesgo de desastres con Súper Alerta y difusión del Plan Integral de Gestión de Cambio Climático,  este último ejercicio se llevó a cabo con la Gobernación de Caldas
3). • COVID 19: 
4). Conversatorios Ambientales Virtuales. - asocars</t>
  </si>
  <si>
    <t>Estrategias de información y comunicación para la difusión de la gestión ambiental.
- se redactaron 56 boletines de prensa relacionados con la gestión ambiental institucional
- 1138 publicaciones en las redes sociales de la Entidad
- A 31 de diciembre la cuenta de Facebook contaba con 11.850 seguidores, Instagram 4.230 y twitter 9480
- Se conceptualizó la estrategia de difusión para la Audiencia Pública de Rendición de Cuentas del Plan de Acción 2020 – 2023, vigencia 2021.
- Corpocaldas la Feria Internacional del Medio Ambiente (FIMA) en la ciudad de Bogotá.</t>
  </si>
  <si>
    <t>se dieron a conocer a los diferentes públicos de interés a través de 111 cápsulas ambientales, 86 videos institucionales, 37 notas informativas, 4 podcast y 4 cuñas de radio
A 31 de diciembre la cuenta de Facebook contaba con 12.463 seguidores, Instagram 4.472 y twitter 9.659</t>
  </si>
  <si>
    <t>“Caravanas Ambientales - Corpocaldas actúa en tu territorio”: subregiones Norte, Alto Occidente y Occidente Próspero
 Actualización de la página Web
 Participación en la Feria Internacional de Ambiente (FIMA)</t>
  </si>
  <si>
    <t xml:space="preserve">"Se generaron productos gráficos, radiales y audiovisuales como cápsulas, videos cortos, programas, microprogramas, notas audiovisuales, cuñas, podcast, microdocumentales, entre otros; para dar a conocer la gestión institucional y promover el uso eficiente de los recursos naturales, su cuidado y conservación. Estos contenidos se transmitieron por los espacios contratados en el Plan de Medios, las redes sociales y la página Web; además, se visibilizaron en otros medios de comunicación, resultado de free press.
Se adelantaron y apoyaron campañas comunicativas para generar conciencia ambiental: Caldas Siembra, Cuidado y conservación de zarigüeyas, Uso eficiente de la energía y del agua, Prevención del riesgo de desastres con Súper Alerta, #NoEstánSolos, difusión del Plan Integral de Gestión de Cambio Climático, Deje la lora, Yo también soy de este parche, entre otras campañas. 
Durante la pandemia se apoyó al proceso de Educación con la producción de contenidos audiovisuales que permitieran continuar con los ejercicios de sensibilización ambiental en las instituciones educativas a través de la virtualidad.  De esta manera, se realizó la producción de 4 obras de títeres y de varias piezas gráficass.
Durante el Plan de Acción se redactaron cerca de 200 boletines de prensa relacionados con la gestión ambiental institucional, los cuales están disponibles en la página web de Corpocaldas.  
El trabajo adelantado por funcionarios y contratistas se visibilizó a través de más de 1000 publicaciones anuales en las redes sociales institucionales.  En estos cuatro años, 4 mil nuevos seguidores consumieron los contenidos publicados en Facebook, Twitter / X, Instagram y YouTube.  En el año 2023 se abrieron las redes sociales Tiktok y Threads.  
La Unidad de Comunicaciones acompañó el rediseño de la página web institucional.  Hoy se cuenta con una Webmaster que se encarga de gestionar los contenidos de la página e Intranet y darle solución a usuarios internos y externos sobre la operación de dichas plataformas. 
Se apoyó desde el componente comunicativo la participación de Negocios Verdes de Caldas en las ferias Bioexpo que se llevaron a cabo en las ciudades de Medellín y Bucaramanga.  También, el Cuarto y Quinto Encuentro Nacional de Autoridades Ambientales - Tercer y Cuarto Congreso Internacional de Investigación e Innovación Ambiental, eventos liderados por la CAR de Cundinamarca.
Se coordinó la presencia de Corpocaldas en dos versiones de la Feria Internacional de Ambiente en Bogotá, en las cuales se dio a conocer la experiencia de la Autoridad Ambiental en la Gestión del Riesgo de Desastres, el trabajo interinstitucional que se adelanta con VivoCuenca, Chec y la Gobernación de Caldas, y algunas de las estrategias de educación ambiental.  Además, se mostraron proyectos emblemáticos como Restauración con drones y las campañas de sensibilización de Fauna Silvestre “Oiga deje la lora” y “Yo también soy de este parche”.
A través del Convenio 092 con la ONG Nativa, se llevó a cabo un evento de reconocimientos a quienes dejaron huella en la Entidad y estuvieron vinculados laboralmente por más de 25 años. Esta actividad estuvo enmarcada en la celebración de los 50 años de Corpocaldas.
Dentro de la estrategia de Fortalecimiento Institucional, desde la Unidad de Comunicaciones se lideraron las “Caravanas Ambientales - Corpocaldas actúa en tu territorio”.  Esta iniciativa tuvo como objetivo acercar la Entidad a los públicos de interés a través de la oferta institucional que comprendió: la recepción y radicación de Peticiones, Quejas, Reclamos, Denuncias ambientales o por caso de corrupción; el inicio o seguimiento de trámites; asesorías ambientales, acuerdos de pago, la entrega voluntaria de Fauna Silvestre, actividades de educación ambiental, recorrido a zonas de riesgo de desastres y Diálogos con comunidades. 
En total se llevaron a cabo 6 jornadas en los municipios de Aguadas, Anserma, Riosucio, La Dorada, Villamaría y Marquetalia, correspondientes a las sedes de cada subregión.   De igual manera, se participó en la Feria de Servicios de Camacol en Chinchiná y de Pacífico Tres en Viterbo.  
"			
			</t>
  </si>
  <si>
    <t>Linea Estratégica  Planificación y Ordenamiento Ambiental Territorial</t>
  </si>
  <si>
    <t>PROGRAMA ORDENAMIENTO AMBIENTAL TERRITORIAL</t>
  </si>
  <si>
    <t>SUBPROGRAMA VI PLANIFICACION Y ORDENAMIENTO AMBIENTAL TERRITORIAL</t>
  </si>
  <si>
    <t>Proyecto 14:  Formulación y actualización de instrumentos de planificación ambiental, sectorial y ordenamiento territorial</t>
  </si>
  <si>
    <t>Instrumentos priorizados de administración y planificación ambiental formulados, actualizados, acompañados y adoptados</t>
  </si>
  <si>
    <t>1). convenio interadministrativo 260-2020 con IAvH, que tiene por objeto: Aunar esfuerzos técnicos, administrativos, económicos y financieros para fortalecer el conocimiento y la conservación del bosque seco tropical en la jurisdicción de Corpocaldas.
2). contrato No. 267-2020 entre Corpocaldas y Wildlife Conservation Society (WCS) cuyo objeto es: Generar insumos para la actualización de la estructura Ecológica de Caldas, definir la función amortiguadora para dos áreas protegidas y diseñar el plan de manejo del Distrito de Conservación de Suelos (DCS) El Gigante
3). Durante el 2020, se formuló el Plan de Manejo del DMI Cerro Guadalupe, Pendiente adopcion 
4). contrato con el objeto: Prestación de servicios para apoyar la gestión de Corpocaldas en la actualización del Plan de Prevención, Mitigación y Contingencias de Incendios Forestales del Departamento de Caldas
5). finalizó la ejecución del Contrato 123-2019 a través del cual se realizó la formulación del POMCA del río Tapias y otros directos al Cauca
6). se culminó con las Fases de Diagnóstico, Prospectiva y Zonificación Ambiental del POMCA y se suscribe Convenio de Asociación No. 161-2020 con el Stockholm Environment Institute- SEI- para realizar la Fase de Formulación</t>
  </si>
  <si>
    <t>1) mediante contrato 2021-276 se realizó la contratación de la formulación del Plan de Ordenación Forestal-POF de la cuenca hidrográfica del río Tapias y otros directos al Cauca.
2) Se contrata la actualizacion de Planes de manejo de  Distrito de Conservación de Suelos DCS Guacas Rosario.
3) Se culmina el plan de Manejo del DMI Bosque el Gigante.
4) Se avanza en la sctualizacion del plan de manejo DMI Laguna de San Diego
5) Plan de Manejo Páramo Los Nevados: se suscribió el Convenio 0448 de 2020 entre CORPOCALDAS, CARDER, CRQ y CORTOLIMA con un avance del 90%
6) se culmina la Actualización del plan de prevención, mitigación y contingencias de incendios forestales en Caldas
7) Se culmina la actualizacion del PGIRS con el municipio de Salamina
8) Se avanza en la Actualización de la Estructura ecológica departamental (Actualización de coberturas vegetales)
9) se avanza en la Actualización del estudio de soporte de la norma de ordenamiento ambiental territorial del suelo rural.</t>
  </si>
  <si>
    <t>1. Plan de Ordenación Forestal (POF) cuenca río Tapias y otros directos al Cauca - convenio con Humbolt - en ejecucion 
2. Actualización de Planes de Manejo de Áreas Protegidas: Distrito de Conservación de Suelos (DCS) Guacas - Rosario - convenio UAM - en revision productos finales 
3. Actualización de Planes de Manejo de Áreas Protegidas: Distrito de Manejo Integrado (DMI) Laguna de San Diego - Convenio Ude caldas - en revision productos finales 
4. Actualización de Planes de manejo de Áreas protegidas:  Distrito de Manejo Integrado-DMI El Meandro o la Madrevieja de Guarinocito   - Convenio con Alcaldia de la Dorada - por iniciar
5. Formulación de Planes de Manejo de Áreas Protegidas:  Distrito de Conservación de Suelos (DCS) El Gigante - Convenio con WCS - Para adopcion
6. Plan de manejo del Páramo Los Nevados - PANGEA Ejecutor - en ajustes del documento (comision conjunta quindio - tolima - risaraldas - caldas)</t>
  </si>
  <si>
    <t>1. Plan de ordenación forestal-POF cuenca río Tapias y otros directos al Cauca
 2. Actualización de Planes de manejo de Áreas protegidas: Distrito de Conservación de Suelos-DCS Guacas Rosario
 3. Actualización de Planes de Manejo de Áreas protegidas: Distrito de Manejo Integrado-DMI Laguna de San Diego
 4. Actualización de Planes de Manejo de Áreas Protegidas: Distrito de Manejo Integrado-DMI El Meandro o la Madrevieja de Guarinocito.
 5. Producto de la remisión del Plan de Manejo del DCS El Gigante
 6. Plan de Manejo del Páramo Los Nevados: En el mes de mayo de 2023, la Comisión Conjunta del Complejo de Paramo los Nevados 
 aprobó mediante el Acuerdo 004 de 2023 la adopción del Plan de Manejo.</t>
  </si>
  <si>
    <t xml:space="preserve">Para el cumplimiento de las metas del cuatrienio, se desarrollaron las siguientes activides: 1)Formulación del Plan de ordenación forestal para la cuenca del Río Tapias. 2) Se generaron insumos para la actualización de la estructura Ecológica de Caldas 3) Formulación de los Planes de manejo del Distrito de Conservación de Suelos (DCS) El Gigante en Salamina y del Distrito de Manejo Integrado (DMI) Cerro Guadalupe en Manzanares y Marquetalia 4) Actualización del Plan de manejo del Distrito de Conservación de Suelos (DCS) Guacas Rosario en Manizales. 5) Se generaron insumos para la actualización del Plan de Manejo (Diagnóstico) del Distrito de Manejo Integrado (DMI) Laguna de San Diego en Samaná. 6) Se generaron avances en actualización del Plan de manejo del Distrito de Manejo Integrado (DMI) El Meandro o la Madrevieja de Guarinocito. 7)Actualización del Plan de prevención, mitigación y contingencias de incendios forestales en Caldas. 8) Elaboración de la línea base de generación de RESPEL en la subregión centro sur de Caldas y avances en formulación del Plan de gestión de RESPEL. 9) Formulación y aprobación del Plan de Manejo del Páramo Los Nevados (Acuerdo 004 de 2023 de la Comisión Conjunta). 10) Balance respecto a la implementación del Plan de Acción Regional para la Gestión Integral de la Biodiversidad y sus Servicios Ecosistémicos (PARGIBSE) del departamento de Caldas PARGIBSE que está formulado para el periodo 2014-2024, que permitiera tener una línea base para su evaluación y actualización 11)Se apoyó la actualización de PGIRS municipales (Supía, Salamina y Norcasia). 12) Actualización de usos y coberturas de la tierra a escala 1:25.000 que además es insumo para la actualización de la zonificación de la Reserva Forestal Central de Ley Segunda de 1959 que está a escala 1:100.000. 13) Se generaron avances en materia diagnóstica para actualización de Planes de manejo Planes de manejo del Titi gris y del Cóndor de los Andes. 14) Se generaron avances en Fase I formulación del Plan de Gestión de Calidad del Aire para Manizales		</t>
  </si>
  <si>
    <t>Determinantes ambientales para el ordenamiento territorial actualizadas y adoptadas</t>
  </si>
  <si>
    <t>Determinantes ambientales actualizadas</t>
  </si>
  <si>
    <t>1.  determinantes ambientales para el ordenamiento territorial según los ejes temáticos: Estructura ecológica, Gestión integral del recurso hídrico, Gestión integral de residuos sólidos y calidad del aire, Gestión del riesgo de desastres y cambio climático 
Lineamientos: 
1) propuesta de plan de seguimiento a la incorporación de las determinantes ambientales</t>
  </si>
  <si>
    <t xml:space="preserve">Se culmina la revision con el MADS la Determinante Ambiental Única departamento de Caldas en sus 5 ejes tematicos:  Estructura ecológica - Gestión integral del recurso hídrico - Gestión integral de residuos sólidos y calidad del aire - Gestión del riesgo de desastres y cambio climático - Ordenamiento ambiental territorial del suelo rural.  Quedando pendiente su adopcion para el año 2022 </t>
  </si>
  <si>
    <t>Durante el primer semestre del año 2022 se realizó una última revisión de los productos, con los Subdirectores de Planificación Ambiental del Territorio, Infraestructura Ambiental, Evaluación y Seguimiento Ambiental y Biodiversidad y Ecosistemas de Corpocaldas, en el marco del Comité de Ordenamiento Ambiental Territorial-COAT, desarrollando siete (7) reuniones para revisar las Fichas departamentales y al menos un ejemplo de las Fichas detalladas
Actualización de la Estructura ecológica departamental - Actualización de usos y coberturas de la tierra
Actualización del estudio de soporte de la norma de ordenamiento ambiental territorial del suelo rural
estudios capacidad de carga en valle de la samria - charca de guarinocito y laguna de san diego</t>
  </si>
  <si>
    <t>Determinante Ambiental Única departamento de Caldas. Resolución 0825 del 18 de mayo 2023 de Corpocaldas “Por medio de la cual se adoptan las determinantes ambientales para el ordenamiento territorial en los municipios del departamento de Caldas”, la cual adopta seis (6) anexos: 1) Documento de Generalidades, 2) Estructura ecológica, 3) Gestión integral del recurso hídrico, 4) Gestión integral de residuos sólidos y calidad del aire, 5) Gestión del riesgo de desastres y cambio climático y 6) Directrices ambientales para la ocupación en suelo rural.
 Actualización del estudio de soporte de la norma de ordenamiento ambiental territorial del suelo rural</t>
  </si>
  <si>
    <t xml:space="preserve">"Para el cumplimiento de las metas del cuatrienio, se desarrollaron las siguientes actividades: 
1)	Se expidió la Resolución 0825 del 18 de mayo 2023 de Corpocaldas “Por medio de la cual se adoptan las determinantes ambientales para el ordenamiento territorial en los municipios del departamento de Caldas”, la cual adopta seis (6) anexos: a) Documento de Generalidades, b)Estructura ecológica, c)Gestión integral del recurso hídrico, d)Gestión integral de residuos sólidos y calidad del aire, e)Gestión del riesgo de desastres y cambio climático y f)Directrices ambientales para la ocupación en suelo rural 
2)	Se generaron lineamientos para usos turísticos en suelo rural, incorporados en las Determinantes ambientales de la Resolución 0825 de 2023; 
3)	Se hicieron estudios de capacidad de carga turística para 2 áreas SINAP (DMI Charca de Guarinocito y DMI Laguna de San Diego) y un área de interés ambiental municipal en Salamina (Valle de La Samaria). 
4)	Se generaron los insumos “Propuesta técnica términos de referencia para estudios detallados de amenaza y riesgo por inundación” y “Propuesta técnica términos de referencia para estudios detallados de amenaza, vulnerabilidad y riesgo por subsidencia”, los cuales fueron remitidos a la Alcaldía Municipal de Manizales. 
5)	Se generaron tres lineamientos para la incorporación de las determinantes ambientales en los Planes de ordenamiento territorial-POT, Planes parciales y Unidades de planificación rural de Caldas y para los procesos de concertación ambiental, de estos instrumentos.                                                                                                                                                                                                                                                                                                                                                                                                                                                                                                                                                                                                                                                                          		                                                                                                                                                                                                                                                                                                                                                                                                                                                                                                                                                                                                                                                                      </t>
  </si>
  <si>
    <t>Áreas protegidas establecidas y reglamentadas</t>
  </si>
  <si>
    <t>% de la superficie del Departamento que se encuentra como área protegida</t>
  </si>
  <si>
    <t>Ajuste a documentos y proceso final de declaratoria de Las Marías, Corozal y la ampliación de El Popal, con lo cual se espera sumar, una vez declaradas/incorporadas, alrededor de 6100 hectáreas a la estructura de conservación del Sistema departamental de Áreas Protegidas del Caldas</t>
  </si>
  <si>
    <t>1) Reserva Forestal Protectora Cuchilla de Rincón Santo en el municipio de Marulanda (5.140 Has.)
2) Distrito de Manejo Integrado Cuchilla de Corozal en el municipio de Villamaría (1.889 Has.)
3) Ampliación de la Reserva Forestal Protectora El Popal en el municipio de Pensilvania (Ampliación en 725 Has. para un área final de 959 Has.)
En la actualidad se cuenta con el Documento Técnico de Soporte y Documento Síntesis del Diagnóstico, remitiéndose el último mediante comunicado oficial 2021- IE-00014485 del 21 de junio de 2021 al Instituto Alexander von Humboldt-IAvH para obtener concepto favorable.</t>
  </si>
  <si>
    <t xml:space="preserve">tres (3) áreas protegidas, que fueron reportados en el Informe de Gestión de la vigencia 2021: Reserva Forestal Protectora Cuchilla de Rincón Santo en el municipio de Marulanda (5.140 Has.), Distrito de Manejo Integrado Cuchilla de Corozal en el municipio de Villamaría (1.889 Has.) y ampliación de la Reserva Forestal Protectora El Popal en el municipio de Pensilvania (Ampliación en 725 Has. para un área final de 959 Has.). Pendiente de socializacion con las comunidades para adopcion por parte de onsejo directivo </t>
  </si>
  <si>
    <t>A la fecha se cuenta con estudios para tres (3) áreas protegidas que fueron reportados en el Informe de Gestión de la vigencia 2021: Reserva Forestal Protectora Cuchilla de Rincón Santo en el municipio de Marulanda (5.140 Has.), Distrito de Manejo Integrado Cuchilla de Corozal en el municipio de Villamaría (1.889 Has.) y ampliación de la Reserva Forestal Protectora El Popal en el municipio de Pensilvania (Ampliación en 725 Has. para un área final de 959 Has.).
 Declaratoria de Reservas naturales de la sociedad civil-RNSC: (3) nuevas Nido del Cóndor (Villamaría), Nacimiento de Rio Manso (Samaná), Ecozentro Madre Kumbra (Manizales). 
 visitas e informes técnicos para cuatro (4) nuevas RNSC: Camposol - La Bretaña (Villamaría), El Santuario (Manizales), La Favorita (Manizales y Marulanda) y El Encanto (Salamina), se encuentran en proceso de trámite de su registro ante Parques Nacionales Naturales de Colombia.
 radicadas en parques otras tres (3) nuevas RNSC: La Libertad (Manizales), Villa Diosa (Samaná) y Los Achiles Refugio de abejas nativas (La Dorada), para un total de diez (10) nuevas RNSC gestionadas en el marco del proyecto</t>
  </si>
  <si>
    <t>Apoyo y fortalecimiento a las instancias de participacion para la gestión ambiental contenidas en  los instrumentos de planificación afrocolombianos en Caldas (agenda ambiental) en articulación con sus Planes de Etnodesarrollo.</t>
  </si>
  <si>
    <t>Instancia de participación fortalecidas para la gestión de la biodiversidad y sus servicios ecosistémicos en las comunidades Afrocolombianas de Caldas</t>
  </si>
  <si>
    <t>Socialización y apropiación de la Agenda ambiental conjunta formulada para la gestión ambiental en los territorios afrodescendientes</t>
  </si>
  <si>
    <t>Con el apoyo del enlace ambiental Afrodescendiente, se adelantó la socialización de la Agenda Ambiental Afrocaldense y su Plan de Acción, lo cual se realizó a través de espacios presenciales con comunidades y organizaciones afrodescendientes de los municipios de Victoria, La Dorada, Anserma, Supía, Marmato, Palestina y Manizales y ante la Consultiva Departamental comunidades Negras, Afrocolombianas, Raizales y Palenqueras (NARP).</t>
  </si>
  <si>
    <t>Socialización y apropiación de la Agenda ambiental conjunta formulada para la gestión ambiental en los territorios afrodescendientes con actores municipales en los municipios de Anserma, La Dorada, Marmato, Manizales, Supía, Victoria y Palestina</t>
  </si>
  <si>
    <t xml:space="preserve">"Se logró el fortalecimiento de una (1) instancia de participación para la gestión de la biodiversidad y sus servicios ecosistémicos en las comunidades Afrocolombianas de Caldas.
Fortalecimiento del trabajo conjunto con representantes de La Mesa Ambiental Afrocaldense con líderes de las comunidades Afrodescendientes de los municipios de Anserma, Manizales, Marmato, La Dorada, Palestina, Victoria y Supía.
14 reuniones de articulación realizadas con alcaldías de los municipios deAnserma, Manizales, Marmato, La Dorada, Palestina, Victoria y Supía, para socialización y apropiación de la Agenda ambiental."		
			</t>
  </si>
  <si>
    <t>Estrategia de seguimiento, monitoreo y evaluación de los instrumentos de planificación concertados con las comunidades afrocolombianas de Caldas.</t>
  </si>
  <si>
    <t>Estrategia implementada para el seguimiento, monitoreo y evaluación de los instrumentos de planificación concertados con las comunidades Afrocolombianas de Caldas</t>
  </si>
  <si>
    <t>concertación y consenso a través de la Mesa Afroambiental, instancia de participación que se afianza como parte fundamental de la plataforma de evaluación, seguimiento y monitoreo.</t>
  </si>
  <si>
    <t>Se espera ejecutar las acciones pertinentes en el marco del contrato 280-2021 "Prestación de servicios profesionales para acompañar la apropiación, socialización y posicionamiento de la Agenda Ambiental Afrodescendiente - Comunidad NARP (Negra, Afrocolombiana, Raizal y Palenquera)- de Caldas y la consolidación de su plan de acción, fortaleciendo la perspectiva de su enfoque diferencial y un marco de gestión para su financiamiento." Actualmente en ejecución</t>
  </si>
  <si>
    <t>"Se implementó una estrategia mediante la formulación del Plan de Acción de la Agenda Afroambiental, lo cual se estructura 
en desarrollo del Contrato 194 de 2020, Plan que integra  dentro de su estructura la formulación de unos indicadores, punto de partida para la plataforma de seguimiento y monitoreo.
En marco del os contratos 280-2021 y 073- 2022, se se realiza seguimiento a los desarrollos y 
alcances de la Agenda Ambiental Afrodescendiente de Caldas.
3 informes presentado con segimiento, monitoreo y evaluación al Plan de Acción de la Agenda Ambietnal Afrocaldense.
En el marco del convenio 056-2023 está establecido realizar una evalcuación de seguimiento de impactos ambientales en marco del las metas en las gestión Ambiental adelantadas con comunidades Afrodescendientes en el Plan de Acción y la Agenda Ambietnal Afocladense.</t>
  </si>
  <si>
    <t>Proyecto 15:  Incorporacion de los instrumentos de planificacion ambiental</t>
  </si>
  <si>
    <t>Entidades territoriales acompañadas en la incorporación de las determinantes ambientales e instrumentos de administración y planificación ambiental</t>
  </si>
  <si>
    <t>Entidades territoriales acompañadas</t>
  </si>
  <si>
    <t>1). Asistencia técnica para la revisión y ajuste de POT en las 28 entidades territoriales
2). Acompañamiento técnico a los Planes de gestión del riesgo acompañados en los procesos de actualización
3) Se concertaron ambientalmente los Planes Parciales “El Retiro” de Villamaría y “La Libia” de Chinchiná. Se inició la concertación ambiental del Plan Parcial “Villa Angélica”
4) Realización de reunión con Curadores Urbanos</t>
  </si>
  <si>
    <t>28 Entidades territoriales acompañadas.
125 asistencias durante la vigencia del 2021, de las cuales cincuenta y siete (57) fueron acompañadas por el Comité de Ordenamiento Ambiental Territorial (COAT) de la Corporación.
Se realizó el “Ciclo de Asistencia Técnica 2021 en Planificación y ordenamiento ambiental territorial” en los recintos de los Concejos Municipales de trece municipios: Aranzazu, Belalcázar, Filadelfia, Manzanares, Marmato, Marquetalia, Marulanda, Norcasia, Pácora, Pensilvania, Riosucio, Risaralda y San José. En todos los municipios, excepto Marulanda.
Se logró la concertación ambiental de los proyectos de revisión y ajuste general de cuatro de los POT de los municipios de Caldas: Salamina, Marulanda, La Merced y Viterbo.
Se logró la concertación ambiental de los proyectos de Modificación excepcional de normas urbanísticas de cuatro POT de Caldas: Aguadas, Neira, Villamaría y La Dorada.
Se concertaron ambientalmente tres (3) Planes Parciales “Villa Angélica”, “Moravito” y “Bodegas IDEMA” de La Dorada.
Se dieron determinantes ambientales para la formulación de cinco (5) Planes Parciales “La Palma” y “La Nubia” de Manizales, “Samarkanda” y “Terminal de Transportes” de La Dorada y “El Recreo” de Belalcázar.
Se dio asistencia técnica a los Planes Parciales “Santa Rita” de Manizales y “Moravito” de La Dorada, concertados ambientalmente y adoptados por los Municipios y “Samarkanda” de La Dorada.
Se elaboraron documentos de apoyo para las administraciones municipales:  Lineamientos para la elaboración de los Planes de Gestión Ambiental Municipal-PGAM - lineamientos para la incorporación de las Determinantes Ambientales y concertación ambiental de POT, Planes Parciales y Unidades de Planificación Rural.</t>
  </si>
  <si>
    <t>486 asistencias, de las cuales treinta y siete (37) fueron acompañadas por el Comité de Ordenamiento Ambiental Territorial-COAT de la Corporación, principalmente reuniones y visitas de campo. 
Se surtió la ruta de concertación ambiental de los proyectos de revisión y ajuste general de seis (6) de los POT de los municipios de Caldas: Chinchiná, Salamina, Palestina, Anserma, San José y Viterbo. Chinchiná no se logró concertar, Salamina y Viterbo se logró concertar, Palestina, Anserma y San José, el proceso pasa al año 2023.
asistencia técnica a la ejecución del Plan Parcial Colinas del Mar de Risaralda el cual fue concertado ambientalmente en el año 2019, en relación con trámites ambientales de ocupación de cauce y aprovechamiento forestal.
asistencia técnica para la formulación de los Planes Parciales Puerto Multimodal y El Cortijo de La Dorada, La Nubia de Manizales, Libaná
Informes de licencias urbanísticas otorgadas en suelo rural de la jurisdicción (12 municipios dan cumplimiento en brindar la infrmacion)</t>
  </si>
  <si>
    <t>214 asistencias durante el primer semestre del año 2023, de las cuales seis (6) fueron acompañadas por el Comité de Ordenamiento 
 Ambiental Territorial-COAT de la Corporación.
 4390 visitas a este micrositio web en el primer semestre del año 
 Se surtió la ruta de concertación ambiental de los proyectos de revisión y ajuste general de seis (6) de los POT de los municipios de Caldas: Anserma, Chinchiná, Palestina, Neira, Samaná y San José. Para los casos de Anserma, Palestina, Neira y San José no se logró concertar; para Chinchiná y Samaná los procesos pasan al segundo semestre del año. para los casos de Palestina y Neira, desde el primer semestre de 2023, estos municipios volvieron a radicar ante Corpocaldas para surtir nuevamente la ruta de concertación ambiental. 
 Asistencia técnica a la ejecución de predios privados en el marco del Plan Parcial El Rosario de Manizales, a la formulación del Plan parcial Zona norte múltiple de La Dorada. Se participó en la Mesa consultiva del Plan parcial La Nubia de Manizales
 Se dieron determinantes ambientales para la formulación de los Planes parciales Verdemar de Viterbo, Zólton de Aguadas y La Alhambra de Manizales.
 Se inició la concertación ambiental de los Planes Parciales Zona norte múltiple y El Cortijo de La Dorada y Quebrada Cuba de Villamaría, procesos que pasan al segundo semestre del año 2023. Se realizó la concertación ambiental de la Modificación del Plan parcial El Retiro de Villamaría.</t>
  </si>
  <si>
    <t>Incorporación de  la dimensión ambiental en los instrumentos de planificación y gestión sectorial</t>
  </si>
  <si>
    <t>Estrategias implementadas para la incorporacion de la dimensión ambiental en los instrumentos de planificación y gestión sectorial</t>
  </si>
  <si>
    <t>Sectores</t>
  </si>
  <si>
    <t>1). Se avanzó en la  incorporación del PIGCC en los diferentes instrumentos de planificación territorial, mediante esfuerzos entre la GOBERNACIÓN DE CALDAS y Corpocaldas para realizar acciones del Plan Integral de Gestión al Cambio Climático (PIGCC) para el departamento de Caldas y del nodo regional de cambio climático Eje Cafetero
2). Corpocaldas promueve la estrategia de incentivar la “Planificación para el Uso y Manejo del suelo”, con enfoque de sostenibilidad en el marco del Plan de Intervención Agroambiental para cultivo de aguacate</t>
  </si>
  <si>
    <t>Se Diseño  la una ruta de asistencia técnica y acompañamiento a la incorporación de la dimensión ambiental en los sectores en coordinación con las agendas sectoriales sostenibles.</t>
  </si>
  <si>
    <t xml:space="preserve">1. Implementar una ruta de asistencia técnica para Incorporación de la dimensión ambiental del Plan de Manejo del Paisaje Cultural Cafetero Colombiano :  se ha propuesto que en el eje temático “Directrices ambientales para ocupación del suelo rural”, se establezcan lineamientos claros de acciones y proyectos a incorporar en los Planes de ordenamiento territorial, para apoyar la conservación de al menos cinco (5) de los dieciséis (16) atributos del Paisaje Cultural Cafetero Colombiano-PCCC, tales como: Café de montaña, Cultivo en ladera, Patrimonio natural, Disponibilidad hídrica y Predominancia de café, los cuales son los que más tienen relación con la gestión ambiental
2. Se desarrollaron asistencias técnicas para la incorporación de las determinantes ambientales en el sector aguacatero - industrial - minero - ganadero </t>
  </si>
  <si>
    <t>asistencia técnica y acompañamiento a la incorporación de la dimensión ambiental en la planificación y gestión sectorial (sector agropecuario -cafetero, aguacatero, ganadero-, hidroenergético, minero, industrial y de servicios).
 Incorporación de la dimensión ambiental del Plan de Manejo del Paisaje Cultural Cafetero, y para el desarrollo del Programa de Sostenibilidad Ambiental del mismo
 Se logró incorporar en las “Determinantes ambientales para el ordenamiento territorial en los municipios del departamento de Caldas” adoptadas mediante Resolución 0825 del 18 de mayo de 2023 de Corpocaldas, medidas de manejo para la conservación de los cinco (5) atributos del PCCC.
 Teniendo en cuenta lo ordenado en la Sentencia 25000234100020130245901 del Consejo de Estado del 4-agos-2022, así como los lineamientos de MINAMBIENTE 
 y la Agencia Nacional Minera-ANM, Corpocaldas ha venido avanzando en la expedición de certificaciones ambientales para los interesados en obtener títulos
 mineros, articulándose a la plataforma VITAL. ha emitido durante el primer semestre de 2023 un aprox. de 217 comunicados oficiales, con respuestas parciales, orientaciones y/o las certificaciones correspondientes</t>
  </si>
  <si>
    <t>Proyecto 16: Gestión del conocimiento de riesgos ambientales y el cambio climático</t>
  </si>
  <si>
    <t>Las obras tipo diseñadas por Corpocaldas para la mitigación del riesgo, son monitoreadas y evaluadas para fortalecer la base de conocimiento</t>
  </si>
  <si>
    <t>Obras tipo monitoreadas y evaluadas</t>
  </si>
  <si>
    <t>Obras tipo monitoreadas y evaluadas:  Aquí se realiza la validación de (2) obras de reducción del riesgo construidas por Corpocaldas en años pasados, las cuales fueron el resultado de la aplicación de la metodología de "Obras Tipo", para lo cual, se diligenció el formato de evaluación para obras ubicadas en el sector de La Bodega y el Barrio Granjas y Viviendas en el municipio de Manizales.</t>
  </si>
  <si>
    <t>359 obras o ATG con formatos sistematizados - Monitoreadas
Elaboración de una metodología de diseño y proceso constructivo de muros de contención en llantas
Se apoya tanto a municipios como al departamento de Caldas, mediante la generación de insumos técnicos, evaluaciones y/o pre dimensionamiento de posibles acciones estructurales para la mitigación del riesgo, en puntos críticos puntuales del departamento. Bajo la metodología “Obras Tipo”</t>
  </si>
  <si>
    <t>Sistematización de Información de riesgo para el fortalecimiento del Sistema de Información Ambiental de la entidad</t>
  </si>
  <si>
    <t xml:space="preserve">•	Se realizó monitoreo y evaluación a dos (2) obras tipo de estabilidad, consistentes en pantallas pasivas, sector Granjas y Viviendas en el barrio Fátima y sector La Bodega en el Tablazo, lográndose generar documento técnico con detalles de su funcionamiento, diseño y recomendaciones de uso. 
•	De otra parte, se elaboró una metodología de diseño y proceso constructivo de muros de contención en llantas, proponiéndose un modelo para su aplicación piloto mediante la modalidad de “Obras Tipo”. A partir de esta información se consolidó mediante rangos y procedimientos estadísticos, diferentes condiciones para el planteamiento de geometrías de muros de contención con llantas, que cumplan con la capacidad portante, la estabilidad general y la estabilidad interna y proponer soluciones a inestabilidades con criterios ingenieriles.
•	También se realizó la evaluación retrospectiva en cuanto a la patología de seis (6) obras tipo en tres (3) municipios del departamento. Entre las obras se incluyen pantallas ancladas activas y pasivas o con apuntillamiento, terraceos con zanjas colectoras y canales escalandos de rápidas con tapa, muros de contención, entre otras, todas estas obras ejecutadas por Corpocaldas en años anteriores en los municipios de Palestina (1), Neira (1) y Manizales (4). La metodología adoptada en los análisis permitió demostrar que, en todas las obras analizadas, se aumentó drásticamente el factor de seguridad convirtiendo en casos exitosos, las obras construidas mediante la modalidad de "obras tipo" a la fecha, con base en los análisis de estabilidad global, deslizamiento y volcamiento.
•	Finalmente y, a fin de fortalecer la base del conocimiento respecto a las obras de mitigación diseñadas y construidas por la Corporación, a través de nuestro Sistema de Información Ambiental Regional, la entidad diligencia formatos de Hojas de Vida de obras, con la información asociada. </t>
  </si>
  <si>
    <t>Estudio en zonas identificadas de riesgo, terminados</t>
  </si>
  <si>
    <t>Estudios e investigaciones realizadas sobre riesgos ambientales y cambio climático en el departamento</t>
  </si>
  <si>
    <t xml:space="preserve">Riosucio: convenio EMPOCALDAS estudios de diagnóstico para la cuenca aferente al Box Culvert quebrada El Rotario y los tributarios al Box Culvert Gladys Guapacha
Filadelfia:  estudios de detalle en el sector Lavaderos - Vereda Santa Rita – Balmoral.
Manizales:  estudios de detalle sectores Las Vallas, Barrio La Paz, Sector Alta Castilla, Sector Quiebra del Billar y diseño de obras de estabilidad en el barrio Bajo Rosales. </t>
  </si>
  <si>
    <t>1) Mediante Convenio con la Empresa de Obras Sanitarias de Caldas Empocaldas S.A. E.S.P, se realizaron estudios de diagnóstico y diseño de los componentes hidrológicos-hidráulicos, topográficos, estructurales, geotécnicos-geológicos gestión de riesgo para el manejo de aguas lluvias, para la cuenca aferente al box culvert quebrada El Rotario y los tributarios al box culvert localizado en inmediaciones de la vivienda de la señora Gladys Guapacha, en el municipio de Riosucio.
2) se suscribió el convenio entre Corpocaldas y el municipio de Filadelfia, con el fin de ejecutar estudios y diseños en sector priorizado por el CMGRD denominado Sector Lavaderos (Vereda Santa Rita – Balmoral).
unicipio de Marmato
3) Convenio con el municipio de Marmato spara diseños que permitan reducir y mitigar el riesgo en el Coliseo del Colegio Montecarlo.
4) Con el municipio de Manizales se suscribe convenio para Realizar estudios detallados de zonificación de la amenaza, vulnerabilidad y riesgo en los sectores de Las Vallas, Barrio La Paz, Sector Alta Castilla en el Municipio de Manizales definiendo y diseñando las obras de mitigación en las zonas en donde éste sea mitigable.</t>
  </si>
  <si>
    <t>1.  Convenio Interadministrativo No. 01102021-1325:  AUNAR ESFUERZOS TÉCNICOS, ADMINISTRATIVOS, FINANCIEROS Y HUMANOS CON EL FIN DE REALIZAR LOS ESTUDIOS Y DISEÑOS GEOLÓGICOS - GEOTÉCNICOS E HIDRÁULICOS NECESARIOS, QUE CONDUZCAN A LA FORMULACIÓN DE PROYECTOS EN FASE 3, PARA SOLUCIONAR LAS PROBLEMÁTICAS POR DESLIZAMIENTOS, AVENIDAS TORRENCIALES E INUNDACIONES EN LOS MUNICIPIOS PRIORIZADOS DEL DEPARTAMENTO DE CALDAS.  CORPOCALDAS - DEPARTAMENTO DE CALDAS  -  MANZANARES - SALAMINA -  SUPÍA -ANSERMA - VITERBO - MERCED - ARANZAZU - MARULANDA -  SAMANA.
2. Convenio celebrado entre Corpocaldas, la Empresa de Obras Sanitarias de Caldas Empocaldas S.A. E.S.P y el Municipio de Riosucio.  el manejo de aguas lluvias, para la cuenca aferente al box culvert quebrada El Rotario y los tributarios al box culvert localizado en inmediaciones de la vivienda de la señora Gladys Guapacha, en el municipio de Riosucio
3.  Convenio Interadministrativo No. 019-2022 celebrado entre Corpocaldas-Empresa de Obras Sanitarias de Caldas Empocaldas S.A. E.S.P-Departamento de Caldas- Municipio de Salamina: sector El Playón
4.  Convenio Interadministrativo de asociación No. 218-2022 celebrado entre Corpocaldas-Empresa de Obras Sanitarias de Caldas Empocaldas S.A. E.S.P-- Municipio de Risaralda: estudios detallados tendientes a determinar las obras de mitigación y recuperación del drenaje afectado en el sector vereda Pizamo.</t>
  </si>
  <si>
    <t>Estudios Básicos de Riesgo - Esquema de Ordenamiento Territorial del municipio de Victoria. Convenio Interadministrativo No. 020-2023.
 Estudios Básicos de Riesgo – Plan Básico de Ordenamiento Territorial del municipio de Supía
 Estudios Detallados sector El Playón, municipio de Salamina
 Estudios Detallados sector Pizamo, municipio de Risaralda</t>
  </si>
  <si>
    <t>A través de convenio firmado con EMPOCALDAS S.A. E.S.P. se realizaron estudios de diagnóstico y diseño de los componentes hidrológicos-hidráulicos, topográficos, estructurales, geotécnicos-geológicos con sus respectivos diseños y recomendaciones para el manejo de aguas lluvias, para la cuenca aferente al Box Culvert quebrada El Rotario y los tributarios al Box Culvert Gladys Guapacha en el municipio Riosucio, Caldas. De acuerdo con los resultados y recomendaciones finales de los estudios y diseños, se realizó un presupuesto, priorizando la intervención de algunos tramos mediante posibles futuros convenios.
Mediante convenio suscrito con el municipio de Filadelfia, se apoyaron los estudios y diseños en el sector priorizado por el CMGRD denominado Sector Lavaderos (Vereda Santa Rita – Balmoral). El municipio de Filadelfia como ejecutor de dicho convenio, suscribió el contrato con los siguientes insumos: levantamiento topográfico detallado con Dron, estudio geológico, investigación geotécnica detallada, ensayos de laboratorio, ensayos de campo, ensayos geofísicos, proyecto estructural con diseño definitivo de estructuras propuestas en los capítulos geotécnico e hidráulico.
Mediante convenio suscrito el municipio de MARMATO para la realización de un estudio geológico-geotécnico e hidráulico en el sector de Montecarlo, y la construcción de obras de estabilidad de taludes y manejo de aguas en sitios críticos del área urbana y rural del municipio de Marmato, por el sistema de monto agotable”. Se obtuvo informe del estudio con diseño de obras propuestas, presupuesto de obras proyectadas, planos de obras proyectadas, entre otros productos.
Se suscribe convenio Interadministrativo Gobernacion De Caldas, Corpocaldas Y Municipios De Manzanares, Salamina,Supía, Anserma, Viterbo, La Merced, Aranzazu, Marulanda, Samana, Riosucio, con el fin de realizar los estudios y diseños geológicos - geotécnicos e hidráulicos necesarios, que conduzcan a la formulación de proyectos en fase 3, para solucionar las problemáticas por deslizamientos, avenidas torrenciales e inundaciones en los municipios priorizados del departamento de Caldas.  Con la contratación de los estudios geológicos – geotécnicos e hidráulicos, se logró definir las medidas estructurales y no estructurales para reducir los niveles de riesgos en 25 puntos críticos identificados en los 10 municipios del citado convenio, a valores aceptables.
Con recursos propios de la entidad y el personal profesional y técnico que hace parte del grupo primario en Conocimiento del Riesgo (Estudios y Diseños), se ha apoyado en la generación de insumos técnicos a partir de la identificación de escenarios de riesgo en diversos puntos criticos del departamento, con predimensionamento de estructuras y/o diseños de obras bajo la metodología de ""obras tipo"", como alternativas de emergencia para la mitigación inmediata y/o prevención del riesgo en cada sitio, así mismo, a través del diseño de infraestructura para apoyar la toma de decisiones de los municipios con respecto al manejo del recurso hídrico, tanto en abastecimiento como en saneamiento hídrico
durante el año 2022 se apoyó a 16 municipios (Villamaria, Belalcazar, Pácora, Samaná, Manzanares, Riosucio, Salamina, Marquetalia, Risaralda, Supía, Pensilvania, La Merced, Neira, Filadelfia, Anserma, Manizales, através de la generación de 7 insumos técnicos para la Gobernación de Caldas, 19 insumos técnicos en los municipios citados, así como 63 evaluaciones de puntos críticos en la ciudad de Manizales para convenio con la UGR. 
Así mismo, se apoyó a 8 municipios (Manizales, La Merced, Anserma, Aguadas, Marquetalia, Neira, Samaná, Supía) mediante la generación de 68  insumos técnicos; estos insumos técnicos consistentes en estudios, evaluaciones y diseños de obras mediante la modalidad de “Obras Tipo”. 
Por su parte, a través de la comisión de topografía de la entidad apoyó a través de la generación de insumos técnicos, requerimientos y necesidades relacionadas con monitoreos instrumentales, levantamientos topográficos, entre otros, durante el año 2022.   
se apoyó a 10 municipios (Manizales, Neira, Salamina, Filadelfia, Anserma, Riosucio, Villamaria, Supía, Belalcazar, La Merced) a través de la generación de 18 insumos técnicos y, a 30/jun/2023 se apoyo a 8 municipios  (Manizales, Neira, Salamina, La Dorada, Villamaria, Aguadas, Manzanares, Anserma) con la generación de 9 insumos técnicos.</t>
  </si>
  <si>
    <t>Análisis de la información generada por las redes de monitoreo, para la valoración de riesgos ambientales</t>
  </si>
  <si>
    <t>Documentos de análisis de información desarrollados</t>
  </si>
  <si>
    <t xml:space="preserve">Se avanza en el documento de modelamiento con los monitoreos de contaminacion en Manizales y la Dorada </t>
  </si>
  <si>
    <t xml:space="preserve">Generación de boletines climatológicos (semanales, mensuales y anual) </t>
  </si>
  <si>
    <t>se ha venido trabajando a través del Sistema Integrado de Monitoreo Ambiental de Caldas – SIMAC, en el proyecto de “Operación y mantenimiento en un único sistema de las redes de monitoreo ambiental existentes en el Departamento de Caldas”, con participación del Instituto de Estudios Ambientales – IDEA, Grupo de Trabajo Académico en Ingeniería, Hidráulica y Ambiental y el Grupo de investigación en Ambientes Inteligentes Adaptativos – GAIA de la Universidad Nacional.  Desde allí se generan los siguientes análisis:
- Generación de boletines hidrometeorológicos 
- Análisis de la información generada</t>
  </si>
  <si>
    <t>Generación de boletines hidrometeorológicos (mensuales y semanales) a través del SIMAC</t>
  </si>
  <si>
    <t>En el marco del Convenio suscrito con la Universidad Nacional de Colombia sede Manizales, se ha venido trabajando a través del Sistema Integrado de Monitoreo Ambiental de Caldas – SIMAC, en el proyecto de “Operación y mantenimiento en un único sistema de las redes de monitoreo ambiental existentes en el Departamento de Caldas”, con participación del Instituto de Estudios Ambientales – IDEA, Grupo de Trabajo Académico en Ingeniería, Hidráulica y Ambiental y el Grupo de investigación en Ambientes Inteligentes Adaptativos – GAIA de la Universidad Nacional.  Se han logrado generar los siguientes análisis durante el cuatrenio:
a. Generación de boletines hidrometeorológicos (mensuales y semanales)
A través del SIMAC se elaboró y difundió a la comunidad Boletines hidrometeorológicos con una periodicidad mensual, a partir de información generada por las redes de estaciones que se tienen en el departamento. De igual forma, se elaboraron y difundieron a la comunidad, Boletines semanales hidrometeorológicos, muy útiles para el sector agropecuario y otros de la región. Con estos dos boletines se ha reforzado la divulgación de la información climática que el SIMAC – IDEA entrega a diversos sectores del departamento, los cuales sacan provecho de ello.
b. Análisis de la información generada
De igual forma se realiza análisis de la información generada, como es el caso de lo relacionado con la precipitación en el departamento de Caldas, analizando su comportamiento con base en el Índice de Precipitación Mensual IPM, que corresponde a la relación porcentual entre lo llovido en cada mes y en cada subregión (representado por estaciones meteorológicas e hidrometeorológicas telemétricas existentes en ellas y operadas por el SIMAC, además de algunas estaciones que poseen en el departamento el IDEAM y CENICAFE) y la precipitación promedio mensual multianual para cada mes obtenido de los valores normales 1981 – 2010 que aparecen en el Atlas Climatológico de Colombia. IDEAM.</t>
  </si>
  <si>
    <t>Evaluaciones integrales de amenaza, vulnerabilidad y/o riesgos ambientales, sobre las áreas priorizadas</t>
  </si>
  <si>
    <t>Municipios con evaluaciones de amenaza y vulnerabilidad y/o riesgos sobre las áreas priorizadas</t>
  </si>
  <si>
    <t>Se apoyó tanto a municipios como al departamento de Caldas, mediante la generación de insumos técnicos, evaluaciones y/o predimensionamiento de posibles acciones estructurales para la mitigación del riesgo, en puntos críticos requeridos en el departamento bajo la metodología de apoyo en evaluaciones preliminares de amenaza y riesgo, así como mediante la metodología de “Obras Tipo”, a partir de las cuales se han proyectado posibles soluciones en varios municipios.
Municipio de Manizales Convenio 2011250556 celebrado entre Corpocaldas y la Alcaldía de Manizales – Estudios Detallados La Paz, Alta Castilla y Las Vallas</t>
  </si>
  <si>
    <t>Se apoyó a municipios, mediante la generación de insumos técnicos, evaluaciones y/o pre-dimensionamiento de posibles acciones estructurales para la mitigación del riesgo, en puntos críticos requeridos en el departamento. Lo anterior, bajo la metodología de apoyo en evaluaciones preliminares de amenaza y riesgo, así como mediante la metodología de “Obras Tipo”, a partir de las cuales se han proyectado posibles soluciones en varios sectores y municipios de Caldas.
 Municipio de La Merced, sector Alto del Tambor, vía La Felisa – La Merced
 Municipio de Manizales: sector Quebrada Aparicio, área rural veredas La Aurora – La Argelia, vereda San Peregrino, barrio La Linda, sector vía La Aurora - Morrogacho, sector caserío vereda La Aurora terminal busetas
 Municipio de Anserma sector el Rin vereda La Libertad:
 Municipio de Aguadas – vereda El Culebral:
 Municipio de Marquetalia – sector Gaviones:
 Municipio de Neira – condominio Makadamia
 Apoyo técnico a entes territoriales a través de la comisión de topografía.</t>
  </si>
  <si>
    <t xml:space="preserve">2020:  Suscripción convenio interadministrativo con municipio de Manizales para la realización de actividades relacionadas con la gestión integral del riesgo y la adaptación al cambio climático, como parte integral del Plan de Gestión del Riesgo, en la ciudad de Manizales. A partir del cual se prioriza la realización de estudios detallados en sectores como: Las Vallas, Barrio La Paz, Sector Alta Castilla, Sector Quiebra del Billar.
2021:  Se ejecutan estudios de zonificación de amenaza, vulnerabilidad y riesgo mediante el contrato de consultoría No.236-2021, cuyo objeto fue: “Realizar estudios detallados de zonificación de la amenaza, vulnerabilidad y riesgo en los sectores de Las Vallas, Barrio La Paz, Sector Alta Castilla en el Municipio de Manizales definiendo y diseñando las obras de mitigación en las zonas en donde éste sea mitigable”. se obtuvo prospección geotécnica, prospección geofísica, ensayos de campo y de laboratorio, levantamientos topográficos a detalle, caracterización física y mecánica de los materiales, modelación para análisis de estabilidad de taludes, evaluación de la vulnerabilidad de la infraestructura física presente, análisis y evaluación costo beneficio con alternativas de las soluciones, diseño, cuantificación y valoración de las obras de mitigación, mapas de zonificación de la amenaza, la vulnerabilidad y el riesgo, determinando su mitigabilidad o no.
2022:  
•	Se suscribe convenio con MUNICIPIO DE RISARALDA-EMPOCALDAS S.A. E.S.P para realizar estudios detallados tendientes a determinar las obras de mitigación y recuperación del drenaje afectado en el sector Pízamo del municipio de Risaralda” 
•	A través de convenio con el MUNICIPIO DE SALAMINA-EMPOCALDAS S.A. E.S.P.-GOBERNACIÓN DE CALDAS para realizar los estudios detallados de zonificación de la amenaza vulnerabilidad y riesgo en el sector El Playón del municipio de Salamina y definir y diseñar las obras de mitigación en la zona donde sea mitigable” la entidad apoya estudios detallados de amenaza, vulnerabilidad y riesgo para el sector afectado por desastre.
•	Se suscribe convenio con el fin de realizar la zonificación de amenaza y riesgo por inundación para el tramo de la margen izquierda del río Risaralda donde se generan afectaciones en el sector de Villa del Río, en el municipio de Viterbo”. 
•	Se apoya económicamente la realización de los Estudios Básicos de Riesgo – Plan Básico de Ordenamiento Territorial del municipio de Supía y Palestina dado que el instrumento vigente se encuentra vencido y no tiene incorporado el componente de gestión del riesgo de desastres en debida forma de acuerdo a lo establecido por el Decreto 1077 del 2015.
2023:
•	Se apoya económicamente la ejecución de los Estudios Básicos de Riesgo - Esquema de Ordenamiento Territorial del municipio de Victoria, cuya vigencia de largo plazo se encuentra vencida, sin que hasta la fecha, el municipio haya realizado revisión y ajuste a su EOT por vencimiento de la misma.
•	Se suscribió convenio con el Municipio de Manizales para la realización de estudios de detalle de amenaza, vulnerabilidad y riesgo que permitan dar cumplimiento a los fallos de las acciones populares 2014- 00071 y 2019-00070 municipio de Manizales.   
•	Se suscribió el Contrato para Realizar estudios detallados para la zonificación de amenaza y riesgo por inundación, con sus respectivas medidas de intervención, así como, el acotamiento de la ronda hídrica, en el tramo del río Risaralda en el sector del condominio Villa del Río, del municipio de Viterbo.	</t>
  </si>
  <si>
    <t>Ruta de respuesta ambiental construida, implementada, con seguimiento y evaluación</t>
  </si>
  <si>
    <t>Ruta de respuesta ambiental implementada</t>
  </si>
  <si>
    <t>En el año 2021 se revisó y ajustó el documento maestro de la Ruta de Respuesta ambiental construido en la vigencia que le antecedió.  De esta manera se tiene documentados cuatro (4) entornos de actuación que contiene la ruta de respuesta ambiental, estos son: 1) Ejercicio de autoridad ambiental para la administración de la biodiversidad y los servicios ecosistémicos, 2) Actuación institucional para la respuesta frente a emergencias por riesgos ambientales, 3) Gestión de información y conocimiento ambiental, 4) Fauna y flora en riesgo.  Se identificaron alrededor de cuarenta (40) situaciones de emergencia ambiental (hechos o situaciones), de los cuales se han documentado cuatro (4) protocolos de actuación:  1. Movimientos en masa, 2. incendios forestales, 3. Gestión de Proyectos para Financiación con Fuentes Externas, 4. Fauna herida.</t>
  </si>
  <si>
    <t>La Ruta de Respuesta Ambiental, es una herramienta de planificación y gestión que busca propiciar una mejor articulación y respuesta de los diversos actores involucrados en un hecho, situación o fenómeno específico, que altere o ponga en riesgo los procesos de restauración, conservación, protección, aprovechamiento y gestión de la biodiversidad y sus servicios ecosistémicos
Entornos documentados: i) Áreas protegidas y ecosistemas estratégicos - ii) Uso y aprovechamiento de la biodiversidad y sus servicios ecosistémicos,  iii) Incorporación de la dimensión ambiental en la actividad minera. - iv) Fauna y flora en riesgo.
Protocolos documentados: i) Gestión del concepto técnico ambiental como mecanismo de prevención de los impactos ambientales derivados de la producción a gran escala y/o de exportación. - ii) Denuncia por desarrollo de actividad minera. - iii) Seguimiento a ejecución de metas de aprovechamiento de los PGIRS municipales. - iv) Afectaciones ambientales en ecosistemas estratégicos y áreas protegidas.</t>
  </si>
  <si>
    <t>La ruta quedó conformada por 12 protocolos de respuesta. Al ingresar a la página web se puede acceder al documento técnico y las infografías de cada protocolo, así como el documento maestro</t>
  </si>
  <si>
    <t xml:space="preserve">Se construyó e implementó una (1) ruta de respuesta ambiental y un instrumento para su seguimiento y evaluación, impactando a 27 municipios, información alojada en un micrositio construido en la página web de Corpocaldas sección otras temáticas (https://www.corpocaldas.gov.co/PreviewContent/Index?pag_id=2323), que contiene un documento maestro y doce protocolos de respuesta con sus infografías y documentos de apoyo, informando además los canales de atención al usuario en caso de presentarse situaciones que alteren o pongan en riesgo la biodiversidad y sus servicios ecosistémicos. Para su implementación, se realizó la socialización de la Ruta de Respuesta con el publico interno de la corporación (técnicos de los municipios y funcionarios de las dependencias) así como con actores clave logrando la difusión de los 12 protocolos de respuesta, en sus páginas web y medios digitales de comunicación, además de la participación en eventos de las entidades aliadas para difundir y dar a conocer la estrategia y el rol de Corpocaldas en situacions que ponen en riesgo o afectan los recursos naturales y requieren la participación de otras instituciones para su atención.	</t>
  </si>
  <si>
    <t>Linea Estratégica  Organización dinámica y gestión financiera</t>
  </si>
  <si>
    <t>PROGRAMA FORTALECIMIENTO DE LA GESTIÓN Y DIRECCIÓN DEL SECTOR AMBIENTE Y DESARROLLO SOSTENIBLE</t>
  </si>
  <si>
    <t>SUBPROGRAMA VII FORTALECIMIENTO INSTITUCIONAL</t>
  </si>
  <si>
    <t>Proyecto 17: Modernización Institucional</t>
  </si>
  <si>
    <t>Fortalecimiento de la  infraestructura administrativa para la gestión ambiental</t>
  </si>
  <si>
    <t>Entidad fortalecida en su infraestructura administrativa para la gestión ambiental</t>
  </si>
  <si>
    <t>1)  Sistema de Gestión de Calidad.
2) Cav flora y fauna 
3) sistema de gestion integrado 
4) Admiarchi- Cross</t>
  </si>
  <si>
    <t>Fortalecimiento organizacional - Nueva estructura organizacional - MIPG
Servicios Inmobiliarios: Arrendamiento Bodega CAV flora
Acreditación del laboratorio mediante la realización de auditorías internas y externas</t>
  </si>
  <si>
    <t xml:space="preserve">Adquisición de Bienes y Servicios: Materiales y Suministros: alimentos y medicamentos para fauna. 
Servicios de Distribución de Electricidad, Gas, Alcantarillado y Agua 
Laboratorio Ambiental - 4884 analisis fisicoquimicos y microbiologicos
sistema de gestion integral - planes institucionales - comites de gestion y desempeño </t>
  </si>
  <si>
    <t>medicamentos y alimentos para los CAVR 
 arrendamiento de una bodega que es utilizada como centro de atención y valoración de flora - CAV de Flora.</t>
  </si>
  <si>
    <t>"Para el cuatrienio se logró el fortalecimiento de la infraestructura administrativa para la gestión ambiental, mediante las siguientes actividades: 1) Fortalecimiento del sistema de gestión de calidad 2) Servicios inmmobiliarios: Arrendamiento bodega CAV flora, acreditación del laboratorio mediante auditorías internas y externas 3) Fortalecimiento del sistema de gestion integral - planes institucionales - comites de gestión y desempeño 4) Fortalecimiento de Admiarchi-cross 5) Fortalecimiento organizacional - Nueva estructura organizacional - MIPG 6) Adquisición de Bienes y Servicios: Materiales y Suministros: alimentos y medicamentos para fauna. 
Servicios de Distribución de Electricidad, Gas, Alcantarillado y Agua 
Laboratorio Ambiental - 4884 análisis fisicoquímicos y microbiológicos 7) Medicamentos y alimentos para los CAVR 
 arrendamiento de una bodega que es utilizada como centro de atención y valoración de flora - CAV de Flora. 8) Se contó con servicio de alquiler de vehículos con operarios para el traslado de los funcionarios de la Corporación dentro y fuera del departamento de Caldas.</t>
  </si>
  <si>
    <t>Fortalecimiento de la  infraestructura física  para la gestión ambiental</t>
  </si>
  <si>
    <t>Entidad fortalecida en su infraestructura fisica</t>
  </si>
  <si>
    <t>Adecuaciones Sala Urgencias Fauna.</t>
  </si>
  <si>
    <t xml:space="preserve">Adecuaciones sala de urgencias fauna
Sostenimiento CAV - Fauna:  alimento - medicamentos - vigilancia </t>
  </si>
  <si>
    <t xml:space="preserve">Adecuaciones Sala Urgencias Fauna 
Adecuación y construcción de bodega para ser usada como CAV de Flora en el predio La Gloria 
Mantenimiento planta física, y encierros de los CAV </t>
  </si>
  <si>
    <t>Mantenimiento planta física y encierros de CAVs</t>
  </si>
  <si>
    <t>"•	Fortalecimiento de la atención en fauna con la construcción de Adecuación de la sala de urgencias medico-veterinarias en el Laboratorio Ambiental de Corpocaldas en la ciudad de Manizales.                                                                                                                                                           
•	Portada de la entrada principal en la reserva natural de Torre IV.                                                                                                                                                                                                                  
•	Fortalecimiento institucional de la entidad con la presencia de sedes independientes en los diferentes municipios del Departamento de Caldas así: con presencia en 20 municipios durante el cuatrienio se independizaron 14 municipios con sedes en arrendamiento.
•	Mantenimiento planta física y encierros de cavs"</t>
  </si>
  <si>
    <t>Fortalecimiento de la  infraestructura tecnológica para la gestión ambiental</t>
  </si>
  <si>
    <t>Entidad fortalecida en su infraestructura tecnológica</t>
  </si>
  <si>
    <t>Esta meta avanza de fortalecimientop del sistema de Geambiental, el soporte y reingieneria modulos</t>
  </si>
  <si>
    <t>Soporte tecnológico:  correspondencia - PQR - Gobierno digital - aplicativos financieros - licenciamiento en ofimatica
renovacion de maquinaria y equipos de computo para 79 usuarios 
Soporte plataforma ARGIS (ESRI) - Soporte ALMERA - Soporte SIGMA</t>
  </si>
  <si>
    <t>Soporte tecnológico: Soporte Admiarchi - Módulo PQR – Admiarchi: Gobierno Digital: Soporte Aplicativo administrativo y financiero (PCT): Soporte Aplicativo nómina y talento humano (Soporte Lógico): Correo Electrónico: Renovación Oracle: Renovacion Asana - Adquisición licenciamiento Ofimática -  Renovacion Antivirus
Adquisición y Renovación de infraestructura de servidores 
Fortalecimiento de la oficina de sistemas :  Oficial de Seguridad de la Información - Profesional de Infraestructura Tecnológica
Soporte plataforma ARGIS (ESRI) - Soporte ALMERA - Soporte SIGMA-</t>
  </si>
  <si>
    <t>Soporte tecnológico 
 Servicios de soporte, mantenimiento e integración de tecnologías del SGI de
 Almera
 Mantenimientos: Soporte plataforma ARGIS (ESRI) - Soporte ALMERA Soporte SIGMA</t>
  </si>
  <si>
    <t>1. Renovación del parque informático con la adquisición a diciembre del 2022 de 122 equipos de computo, logrando con esto reducción de la obsolescencia y entregando equipos de trabajo apropiados a los funcionarios de corpocaldas, lo que redunda en un mejor servicio
2. BackBone en fibra óptica de interconección de todos los pisos en edificio Atlas
3. Radio enlace propio con la sede la 24
4. Renovación de la infraestructura de servidores con una obsolescencia de mas de 10 años, se realizo la renovacion de la plataforma de infraestructura tecnologica la que incluye: 
- 4 Servidores de ultima generación
- 1 dispositivo de almacenamiento SAN
- 1 dispositivo autocargador de cintas para backup con su licenciamiento
- licenciamiento de solución de virtualización
5. Renovación y actualización de la infraestructura de red LAN
- 1 Switch CORE
- 14 Switch de borde
- 16 AP Wifi
- Consola de administración en la nube Aruba central
6. Solución UTM de seguridad perimetral para la red corporativa de Corpocaldas
7. Desarrollo de modulo PQR dentro de la plataforma Admiarchi
8. Actualización del portal web de Corpocaldas, basado en las buenas practicas que desarrolla mintic en su politica de gobierno digital                     9. Servicios de soporte, mantenimiento y integración de teconologías del SGI de Almera
10. Mantenimientos: Soporte plataforma ARGIS (ESRI) - Soporte ALMERA Soporte SIGMA</t>
  </si>
  <si>
    <t xml:space="preserve">Poyecto 18:  Fortalecimiento financiero y económico para la gestión ambiental </t>
  </si>
  <si>
    <t xml:space="preserve">Instrumentos  económicos y financieros con proyectos implementados </t>
  </si>
  <si>
    <t>Instrumentos económicos y financieros con proyectos implementados</t>
  </si>
  <si>
    <t>En ejecucion contrato PIVOT</t>
  </si>
  <si>
    <t>En el año 2021 Corpocaldas recibió aprobación de tres proyectos de restauración: 
1) implementación de Sistemas ganaderos sostenibles en la Cuenca media del Río Chinchiná, municipios de Neira y Villamaría, departamento de Caldas -$1.540.844.000.  Liquidado anticipadamente dado que no se pudo adquirir poliza por parte de VIVOCUENCA
2) iniciativas apoyadas para el uso sostenible de la biodiversidad y sus servicios ecosistémicos Restauración de franjas forestales protectoras y conservación de humedales en el río Magdalena, Municipio de La Dorada- $766.744.856.  Aprobado por FONAM sin embargo no pudo ser ejecutado dado que los recursos ingresaron a finales de noviembre de 2021
3) Implementación de acciones de restauración en Ecosistemas estratégicos Altoandinos del departamento de Caldas. $1.224.615.652.  Aprobado por FONAM.  Pendiente asignacion de recursos.
4). Implementación de acciones de restauración aérea de áreas de interés ambiental del departamento de Caldas con el MADS por $1800 millones para ejecutar en 2022.
5) se estructuraron y presentaron tres (3) proyectos de restauración a la convocatoria del Sistema General de Regalías SGR.
6) el proyecto presentado por Corpocaldas a la convocatoria 2021 de la Agencia GIZ fue seleccionado entre las dos iniciativas de Colombia que serán apoyadas y asesoradas.
7) 12 proyectos estructurados en 2021 que no se alanzaron a ejecutar o aprobar quedan en Banco de proyectos de la Corporación para futuras convocatorias, al igual que las iniciativas en etapa de estructuración</t>
  </si>
  <si>
    <t xml:space="preserve">Se formularon dos proyectos articulados a instrumentos económicos y financieros con el fin de gestionar recursos de cofinanciación. El proyecto “Conservación de ecosistemas estratégicos mediante esquemas de pago por servicios ambientales (PSA) y acciones de restauración en el departamento de Caldas” por un monto de $12.047.030.283, fue presentado a la convocatoria del Fondo Nacional Ambiental FONAM en enero de 2022 y alcanzó “pronunciamiento técnico favorable”. No obstante, el FONAM no destinó recursos para Caldas para la ejecución de este proyecto. 
De otro lado, El proyecto “Gestión Adaptativa de las Áreas Abastecedoras de Acueductos (ABACOS) en Escenarios de Cambio Climático para la Provisión Sostenible de Recurso Hídrico” por un monto de $85.361.100.000, fue formulado con el apoyo de la Agencia Alemana GIZ 
Se tienen estructurados en el banco de proyectos 8 iniciativas esperando apertura de proximas convocatorias
4 Proyectos de Ciencia Tecnología e Innovación (CTeI) en ejecución:  </t>
  </si>
  <si>
    <t>acompañamiento a los municipios para la ejecución de la 
 asignación local del Sistema General de Regalías (SGR) con destinación para Medio Ambiente y Desarrollo Sosteble
 certificados de aval para la ejecución de la 
 asignación para medio ambiente en 6 municipios</t>
  </si>
  <si>
    <t xml:space="preserve">Se formuló un proyecto de Pago por Servicios Ambientales (PSA), presentado a la Convocatoria FONAM 2022, con pronunciamiento técnico favorable, para impactar a ocho (8) municipios Victoria, Manzanares, Neira, Aránzazu, Marulanda, Pensilvania, La Dorada y Villamaría, mediante actividades de restauración y proyectos PSA en áreas del Registro de Ecosistemas y Áreas Ambientales (REAA), del Registro Único Nacional de Áreas Protegidas (RUNAP) y áreas de especial importancia para la conservación.
Los municipios Villamaría y San José fueron apoyados para la implementación de incentivos tributarios a la conservación, donde se realizaron simulaciones con información cruzada catastral a fin de soportar la mejor alternativa para generar incentivos tributarios que favorezcan la conservación y protección de áreas de alta importancia ambiental, como resultado Villamaría tiene un borrador de acuerdo para aprobación del Consejo municipal y San José desarrollo la etapa diagnóstica (# de predios, impacto fiscal de esas exenciones) y modelo de acuerdo.
Se contrató el estudio de la Valoración Económica Ambiental (VEA) de la Charca Guarinocito donde se identificaron los valores de uso, no uso y opción, de acuerdo a la metodología RAMSA para la valoración de humedales, contribuyendo a la identificación y declaración de valor de los servicios ecosistémicos provistos por la charca, como conclusión se encontró el valor económico total de los servicios ecosistémicos de la charca Guarinocito.
Apoyo a los municipios Chinchiná, La Dorada, Filadelfia, Manzanares, Aguadas en la implementación del principio de Valoración de Costos ambientales en los proyectos de inversión, que comprende definir la ruta metodológica, identificar los proyectos de inversión de cada vigencia, evaluar los posibles impactos que generan y calcular el costo ambiental de los posibles daños, como resultado se identificó la ruta metodológica de lo que el municipio debe hacer y las alternativas de aplicación del principio de costo de valoración ambiental.		</t>
  </si>
  <si>
    <t>Incremento del recaudo en los instrumentos económicos y financieros</t>
  </si>
  <si>
    <t>Ingresos anuales de la Corporación incrementados</t>
  </si>
  <si>
    <t>Con las gestiones realizadas se lograron aportes de otras entidades por $3.818.140.080. Lo que puede ser evidenciado en el Anexo de relacion de contratos; es decir se logran gestionar contrapartidas por 11% del ppto</t>
  </si>
  <si>
    <t xml:space="preserve">Se implementó el nuevo manual de inversiones de la Corporación, permitiendo realizar operación en el mercado secundario con instrumentos de renta fija, dentro de los que se pueden mencionar están: bonos de renta fija corporativos, títulos de deuda gobierno, bonos indexados a tasa variable y bonos en moneda extranjera. Abriendo la posibilidad de mejorar los rendimientos financieros por los excedentes temporales de la Corporación.
Se obtuvieron contrapartidas en proyectos por valor de $  $ 8.704.842.601 </t>
  </si>
  <si>
    <t>1.  El resultado de las ejecuciones presupuestales de ingresos comparativas de junio del año 2021 a junio del año 2022 se refleja un incremento del 8%. Los rubros con mayores incrementos fueron la tasa por uso del agua con un crecimiento del 25%, los derechos administrativos con un incremento del 17%, la sobretasa ambiental con un 11% y transferencias del sector eléctrico con un incremento del 10%. Es de resaltar que el rubro con mayor incremento absoluto fue el porcentaje ambiental, creciendo en recaudo en $1.759 millones de pesos.
2.  Gestión de Aportes de otras entidades para el desarrollo de metas:  Con la suscripción de convenios interadministrativos y de asociación, se busca inyectar recursos adicionales para el desarrollo de las metas planteadas en el plan de acción, para la vigencia 2022 estos aportes o contrapartidas fueron por 6.138.418.199.  Representando el 11% del ppto de la corporacion.</t>
  </si>
  <si>
    <t>PROGRAMA GESTIÓN DE LA INFORMACIÓN Y EL CONOCIMIENTO AMBIENTAL</t>
  </si>
  <si>
    <t>SUBPROGRAMA VIII CONOCIMIENTO PARA LA GESTIÓN AMBIENTAL</t>
  </si>
  <si>
    <t>Proyecto 19: Gestión del conocimiento en biodiversidad y sus servicios ecosistémicos</t>
  </si>
  <si>
    <t>Sistema de seguimiento y evaluación de la gestión ambiental regional diseñado e implementado</t>
  </si>
  <si>
    <t>Entidades reportando información en el sistema</t>
  </si>
  <si>
    <t>En nuestro sistema de gestión Integrado se recopila información física y financiera de diferentes entidades como lo son los entes territoriales de la región, el IGAC, las Empresas de Servicios Públicos como Aguas de Manizales, Empocaldas, Emas, CHEC, otras como las ONG ambientales, Vivocuenca,  las universidades,  y empresas del sector privado, entre otras</t>
  </si>
  <si>
    <t>Entidades que reportan información en el sistema
Actualmente se tienen 5 entidades vinculadas al COTSA la Dirección Territorial de Salud, Corpocaldas, ICA, SENA y Empocaldas. y 5 Secretarías de la Gobernación de Caldas que son la Secretaría de Planeación, Secretaría de Agricultura, Secretaría de Vivienda, Secretaria de Medio Ambiente y Secretaría de Gobierno, lo que suman 10 actores vinculados al proceso, así mismo se tienen varias entidades vinculadas al Nodo Regional de Cambio Climático Eje Cafetero entre ellas la Secretaría de Medio Ambiente de la Gobernación de Caldas, la Universidad Autónoma de Manizales y la Corporación Autónoma Regional del Quindío CRQ</t>
  </si>
  <si>
    <t xml:space="preserve">en el sistema de seguimiento y evaluacion ambiental regional se encuentran vinculados los siguientes actores: 
1.  COTSA.  Actualmente 6 entidades están vinculadas al COTSA: la Dirección Territorial de Salud, Corpocaldas, ICA, SENA y Empocaldas, al igual de 5 secretarías de la Gobernación de Caldas
2. PGAR - Sistema de articulacion planes de desarrollo municipales (27 municipios)
3.  PIGCC - Sistema de articulacion con las metas de los Planes de desarrollo de los 27 municipios
El análisis de datos del proceso de articulación PDM, PIGCC y PGAR, se realiza por medio del programa de Looker Studio Overview https://lookerstudio.google.com/s/h9OX_O4x9Xg </t>
  </si>
  <si>
    <t>En esta meta se tiene en cuenta la consolidación de diferentes grupos o comités donde participan varios actores y se tiene el compromiso de reportar las acciones adelantadas, en aras de hacer seguimiento y monitoreo a diferentes temáticas ambientales.
En algunos periodos del Cuatrienio Corpocaldas ha realizado la coordinación del Nodo Regional de Cambio Climático Eje Cafetero, en el cual se manejan 5 ejes temáticos: Acción para el Empoderamiento Climático, Gestión de Proyectos, Fortalecimiento Interno y de Política, Planes Integrales de Gestión de Cambio climático – PIGCC y Sectorial. 
Participación activa en El Consejo Territorial de Salud Ambiental de Caldas que está enfocado en lograr la articulación y desarrollo de estrategias por parte de las entidades públicas que lo conforman en torno a las temáticas de salud ambiental, las cuales están priorizadas en 6 mesas temáticas así: 1. Cambio Climático, 2. Residuos Sólidos, 3. Agua, 4. Vigilancia de Cárnicos, 5. Zoonosis y 6. Plaguicidas, en la cual Corpocaldas lidera la mesa de Residuos Sólidos y la mesa de Cambio Climático y Calidad del Aire. Actualmente se tienen entre las entidades vinculadas al COTSA la Dirección Territorial de Salud, Corpocaldas, ICA, SENA y Empocaldas y cinco Secretarías de la Gobernación de Caldas.
Adicionalmente se realizó el proceso de Articulación de los Planes de Desarrollo del departamento de Caldas con el Plan de Gestión Ambiental Regional – PGAR, para lo cual se diseñó un instrumento con el fin de ver reflejado el aporte de las diferentes entidades al PGAR, el cual está dividido en 6 líneas estratégicas que son: Gobernanza Ambiental, Riesgos Ambientales y Cambio Climático, Biodiversidad y Servicios Ecosistémicos, Planificación y Ordenamiento Ambiental Territorial, Sectores Ambientalmente Sostenibles y Organización Dinámica y Gestión Financiera. Dicho instrumento fue debidamente socializado con los funcionarios de las entidades territoriales y se cuenta con el reporte de 26 de los 27 municipios.</t>
  </si>
  <si>
    <t xml:space="preserve">Estudios y/o investigaciones desarrolladas referentes al conocimiento, valoración y aprovechamiento de la biodiversidad y los servicios ecosistémicos </t>
  </si>
  <si>
    <t>Estudios e investigaciones desarrolladas referentes al conocimiento, valoración y aprovechamiento de la biodiversidad y los servicios ecosistémicos</t>
  </si>
  <si>
    <t xml:space="preserve">Avance en los siguientes estudios: 
1) Estudio piloto para la estimación de caudal ambiental (DWA)
2). Humedales Urbanos 
3). Convenio CARDER - Corpocaldas. 186 Material de arrastre río Risaralda
4). Insumos PMA Laguna de San Diego
5). Diagnóstico de meliponicultores en once municipios de Caldas, y especies que se están utilizando </t>
  </si>
  <si>
    <t>Convenio La Dorada Humedales Urbanos en el municipio de la Dorada- Estudios - Mejoramiento Integral De Barrios – para Realizar el proceso de zonificación ambiental del área de influencia de los humedales denominados Las Ferias 1, Victoria Real y San Javier, impactadas por los asentamientos humanos conocidos como la Alameda y Pancoger.
Como resultado del estudio se obtuvo un estudio de análisis ambiental sobre los humedales Las Ferias, Victoria Real y San Javier, con las respectiva Zonificación de uso del área circunvecina a los cuerpos de agua, lo que finalmente brinda orientaciones de manejo para estas áreas.</t>
  </si>
  <si>
    <t>1.  Estudio piloto para la estimación de caudal ambiental (DWA) y generación de insumos para formular el marco procedimental para el control de vertimientos no domésticos
2. Estudio hidrológico e hidráulico del río Risaralda con fines de planificación territorial y aprovechamiento sostenible.  en desarrollo segunda fase</t>
  </si>
  <si>
    <t xml:space="preserve">•	Estudio piloto para la estimación de caudal ambiental (DWA) y generación de insumos para formular el marco procedimental para el control de vertimientos no domésticos con el fin de cuantificar con criterios hidrológicos, biológicos y fisicoquímicos, el caudal mínimo que puede tener una corriente hídrica superficial para sostener la condición ecosistémica. Se suscribió memorando de entendimiento con la Autoridad del Agua de Dommel de Holanda, a fin de recibir donación económica del Gobierno de Holanda para la vinculación de un profesional en el área de Biología para documentar metodologías y referentes técnicos para estimar caudal ambiental con criterio ecológico mediante la evaluación de macroinvertebrados en corrientes hídricas del departamento de Caldas y diseñar procedimientos y referentes para controlar y mitigar la contaminación hídrica a través de los vertimientos de aguas residuales no domésticas dispuestos a la red de alcantarillado y corrientes hídricas.                                                                                                                                                                
•	Se suscribió el convenio con el municipio de La Dorada para realizar el proceso de zonificación ambiental del área de influencia de los humedales denominados Las Ferias 1, Victoria Real y San Javier, impactados por los asentamientos humanos conocidos como la Alameda y Pancoger.”                                                                                                                                   
•	Mediante los convenios con la Corporación Autónoma Regional de Risaralda CARDER y la Corporación Autónoma Regional de Caldas (Corpocaldas) para fortalecer los procesos de planificación y gestión del aprovechamiento de materiales de arrastre en el marco del POMCA del río Risaralda. En el marco de este convenio se suscribe el convenio interadministrativo No. 239-2020 entre Corpocaldas y la Universidad Nacional: 1) modelación del transporte de sedimentos a escala 1:25.000 para los ríos Risaralda y mapa en la parte baja. 2) Estimación del transporte de sedimentos con base en los datos de monitoreo y los resultados del modelo de sedimentos. 3) Dos campañas de monitoreo integrado en cuanto a calidad y cantidad del agua y 4) Resultados de los muestreos de fauna y flora en cuanto a macroinvertebrados y perifiton en la cuenca baja de los ríos Risaralda y mapa.                                                                                                                           
•	Georeferenciaron de 52 meliponicultores, se obtuvo una lista de especies, contenidas en 13 géneros, representados por 19 especies y 5 morfoespecies por identificar. También se realizó un listado de especies florales utilizadas por las abejas sin aguijón dónde se reportan más de 130 especies
•	Se realizó el diagnóstico y priorización con estudio de capacidad de carga tres senderos en la Reserva Forestal Protectora-RFP Nacional de Río Blanco y Q. Olivares, dicha actividad se desarrolló mediante convenio interadministrativo suscrito con Aguas de Manizales S.A. E.S.P
•	con el Instituto Alexander Von Humboldt IAVH se aunaron esfuerzo en para fortalecer el conocimiento y la conservación del bosque seco tropical en la jurisdicción de CORPOCALDAS. Se elaboró a partir de un modelo Bioclimático probabilístico la cartografía actualizada 1:25.000 del ecosistema bosque seco tropical en el departamento de Caldas			
			</t>
  </si>
  <si>
    <t>Caracterización de la degradación de suelos del departamento de Caldas, en cumplimiento a la política para la gestión sostenible del suelo</t>
  </si>
  <si>
    <t>Estudios realizados sobre caracterización de la degradación de suelo por subregión</t>
  </si>
  <si>
    <t>Iniciativas de investigación e innovación sectorial</t>
  </si>
  <si>
    <t>Iniciativas sectoriales de investigación implementadas y documentadas</t>
  </si>
  <si>
    <t xml:space="preserve">En el marco del desarrollo de las agendas sectoriales: (Aguacate - industrial - minero - ganadero), se esta consolidando la linea base de diagnostico de las empresas que cuentan con iniciativas de investigacion sectorial </t>
  </si>
  <si>
    <t>1.  Implementación de un protocolo para el uso de agua y subproductos en las centrales de sacrificio
2.  impulsar los procesos de legalización y promover la adopción de buenas prácticas de gestión en las plantas de beneficio animal de los municipios de Manizales, Neira, Pácora, Supía, Riosucio, Anserma, Viterbo, Marquetalia, Samaná y en La Dorada en los frigoríficos de Friogan Ltda y Frigoprimavera, para mejorar las condiciones de uso y aprovechamiento del recurso hídrico
3.  se inició el proceso de formulación de la iniciativa de crear el Certificado Ambiental Voluntario para el Aguacate (CAVA) como una propuesta para incentivar en las empresas aguacateras y sus buenas prácticas ambientales, y otorgar el CAVA a aquellas que realmente avancen en la implementación de estrategias socioambientales y que sea un factor competitivo en el producto a nivel internacional</t>
  </si>
  <si>
    <t>Sector plantas de beneficio de ganado
Se promovió la legalización del vertimiento y la adopción de buenas prácticas de gestión ambiental en las Plantas de Beneficio Animal de los municipios de Supía, Riosucio, Anserma, y Marquetalia, para mejorar las condiciones de uso y aprovechamiento del recurso hídrico, se avanzó en la recopilación de la información técnica e insumos para promover la legalización de estos usuarios mediante el trámite de permiso de vertimiento de agua residual no doméstica a cuerpo de agua, promoviendo el cumplimiento de los límites permisibles de estas descargas.   Entre algunas medidas de gestión de residuos implementadas se encuentran las encaminadas a gestionar comercialmente la sangre, fragmentos tisulares, patas, cebos, con la empresa AGROSAN S.A, buscando su posterior aprovechamiento; por otro lado se promovió la comercialización de otros subproductos tales como viriles, cálculos, líquido biliar y pieles, mientras que, con la recuperación del contenido ruminal y estiércol, se promovió su uso como mejorador de suelos en fincas cercanas a los municipios.
Sector ganadero
Mediante sesiones de trabajo con AGROSAVIA y la Secretaría de Agricultura del Departamento de Caldas, previendo la financiación del Sistema Nacional de Regalías, se promovió la creación del Sello Ambiental Colombiano para Ganadería Sostenible para predios de la cuenca del río Chinchiná en la región centro-sur del departamento de Caldas, el cual avalaría las buenas prácticas en el sector ganadero, específicamente en el campo ambiental, entre ellas el manejo de agroquímicos, la conservación de espacios naturales y el establecimiento de sistemas silvopastoriles.
Adicionalmente mediante la firma de la refrendación del acuerdo del sector ganadero se planteó la realización de dos proyectos de investigación apoyados por AGROSAVIA e ICA para el desarrollo de un control biológico de plagas y la carbono neutralidad en la ganadería de alta montaña, que buscan la adopción de técnicas de producción con menor carga química contaminante y menor huella de carbono en el sector ganadero; uno de los proyectos de ganadería sostenible, liderado por AGROSAVIA, fue presentado a MINCIENCIAS, con los componentes de investigación en pasturas y forrajes, además de prácticas de manejo, pero no fue aprobado.</t>
  </si>
  <si>
    <t>Desarrollar estudios y/o investigaciones dirigidas al conocimiento, valoración y aprovechamiento de la biodiversidad y sus servicios ecosistémicos en los territorios indígenas de Caldas</t>
  </si>
  <si>
    <t>Estudios e investigaciones referentes al conocimiento, valoración y aprovechamiento de la biodiversidad y sus servicios ecosistémicos en territorio indígenas</t>
  </si>
  <si>
    <t>1). se identificaron sitios de interés ambiental y espiritual desde la visión propia indígena en la cuenca del Río Risaralda; y se ha concretado su gestión a través del convenio 272 de 2020, para adelantar la caracterización de 3 de estas zonas, bajo el marco del cumplimiento de los acuerdos de consulta previa del POMCA Risaralda (Arroyohondo Aukia). 
2). Concertación de los términos y alcances del estudio de fauna y flora en el resguardo San Lorenzo, en desarrollo de la sentencia de restitución de derechos colectivos 025 de 2018.
3). Identificación y definición de áreas de interés ambiental y espiritual, mediante un recorrido en la subcuenca Maibá con la parcialidad indígena del Palmar</t>
  </si>
  <si>
    <t xml:space="preserve">inventario de biodiversidad del Resguardo Escopetera y Pirza, ligado a microcuencas abastecedoras y áreas de interés ambiental y espiritual. </t>
  </si>
  <si>
    <t>Desarrollar estudios y/o investigaciones dirigidas al conocimiento, valoración y aprovechamiento de la biodiversidad y sus servicios ecosistémicos con las comunidades afrocolombianas de Caldas</t>
  </si>
  <si>
    <t>Estudios e investigaciones realiazadas referentes al conocimiento, valoración y aprovechamiento de la biodiversidad y sus servicios ecosistémicos con las comunidades afrocolombianas de Caldas</t>
  </si>
  <si>
    <t>No se tenia meta fisica establecida para el 2021</t>
  </si>
  <si>
    <t>Proyecto 20: Gestión del conocimiento e innovación ambiental</t>
  </si>
  <si>
    <t>Iniciativas de Ciencia, Tecnología e Innovación (CTI) articuladas con las necesidades ambientales propias de la región</t>
  </si>
  <si>
    <t>Iniciativas de CTI desarrolladas</t>
  </si>
  <si>
    <t>Grupo de Investigación de Corpocaldas-GIRNMAC.
Se firma convenio marco para formalizar el proyecto de investigación conjunto con la Universidad de Manizales, denominado: “Valoración integral de servicios ecosistémicos como estrategia de gestión en dos áreas abastecedoras a bocatomas de acueductos rurales o municipales (ABACOS) en el Departamento de Caldas, Colombia”.</t>
  </si>
  <si>
    <t>Fortalecimiento y visibilización del grupo de investigación de Corpocaldas (CTI).  El grupo de investigación actualmente cuenta con un total de diecinueve (19) integrantes y ya fue reconocido por COLCIENCIAS en categoria C.  
Se formaliza la articulación del Semillero de Investigación Ambiental Escolar-INAES de la Universidad de Caldas y Corpocaldas.</t>
  </si>
  <si>
    <t xml:space="preserve">1) Fortalecimiento y visibilización del grupo de investigación de Corpocaldas (CTI)
2) Jóvenes Investigadores de MinCiencias 2022
3) Dinamización del Semillero de investigación Ambiental Escolar INAES 
4) Proyecto: "Riesgo de contaminación de los acuíferos Santágueda km 41 y Río Risaralda”  
5) Corpocaldas participa junto con la CRQ, el SGC y la Universidad de Antioquia en el Proyecto COL7005 que comprende el área de los acuíferos del abanico del Quindío y el Magdalena medio Caldense, por un monto de 218.945 euros. Este proyecto fue aprobado por el Organismo Internacional de Energía Atómica - OIEA 
7) Proyecto:  fase I del Proyecto “Integrando Variabilidad y Cambio Climático al Plan de Manejo del Área Protegida Distrito de Manejo Integrado (DMI) Laguna de San Diego (Samaná –Caldas)”, presentado por investigadores de la Universidad de Caldas, la Universidad de Utah y CORPOCALDAS </t>
  </si>
  <si>
    <t xml:space="preserve">El grupo de investigación Recursos Naturales y Medio Ambiente de Corpocaldas recibió el reconocimiento del Ministerio de Ciencia, tecnología e Innovación (MinCiencas) y la clasificación en categoría C, en la Convocatoria Nacional 894 de 2021​ para el reconocimiento y medición de grupos de investigación, desarrollo tecnológico o de innovación y para el reconocimiento de investigadores del Sistema Nacional de Ciencia, Tecnología e Innovación (SNCTI), lo anterior, como resultado de las actividades de investigación en seis líneas: i)Biodiversidad y sus servicios ecosistémicos, ii) Gobernanza Ambiental, iii) Planificación y Ordenamiento Ambiental Territorial, iv) Riesgos ambientales y Cambio Climático, v) Sectores Ambientalmente Sostenibles, vi) Organización dinámica y gestión financiera. https://scienti.minciencias.gov.co/gruplac/jsp/visualiza/visualizagr.jsp?nro=00000000021363, generando productos de nuevo concimiento publicados en revistas cientificas de alto impacto, productos de apropiación social del conocimieto y divulgación pública de la ciencia y productos de formacipon de recurso humano para la CTeI, donde se destaca la participación de los investigadores como ponente en diferentes eventos, entre ellos el tercer y cuarto Congreso Internacional de Investigación e Innovación Ambiental CNIIA 2022 y CNIIA 2023 y los convenios con instituciones de educación superior para realizar proyectos de investigación, entre ellos, Laguna de San Diego (Universidad de Caldas y Universidad de Utah). Aguas subterráneas (Organismo Internacional de energia atómica (OIEA), Cardes y CRQ), Contaminación de acuíferos (Universidad Católica, Universidad Tecnológica de Pereira, Universidad de Antioquia), Recursos Hídrico (Inspiragua- Autoridades Holandesas del Agua, Universidad de Caldas). Como estrategia de divulgación, se genera una publicación anual del boletín de divulgación cientifica del grupo de investigación: https://comunicaciones063.wixsite.com/girnmac.	</t>
  </si>
  <si>
    <t>Red interinstitucional para la gestión del conocimiento ambiental conformada y en operación</t>
  </si>
  <si>
    <t>Instituciones vinculadas a la Red</t>
  </si>
  <si>
    <t>se avanza en la Estructuración fase V de la Línea Base Ambiental del Departamento con un repositorio total de 295 estudios
Convenio para aportes técnicos y tecnológicos con el Centro de Informática y Biología Computacional (BIOS).</t>
  </si>
  <si>
    <t>1) Estructuración fase V de la Línea Base Ambiental del departamento.  Se cuentan con 322 estudios en 21 tematicas ambientales disponibles para el publico.
2). Centro de Datos e Indicadores Ambientales de Caldas – CDIAC y Geoportal SIMAC.  en alianza con la Universidad Nacional y con la participación de La Gobernación de Caldas, la Alcaldía de Manizales, Aguas de Manizales, Emas y CHEC se Consolidar un gran repositorio de datos, garantizar su actualización y depuración para la medición de variables de Clima, Aire y Agua Subterránea (zona urbana de Manizales).  Hoy, se procesan los más de 76 millones de datos de clima, 610 mil de calidad del aire y más de 3 millones de datos de aguas subterráneas para obtener consultas de registros detallados, pasando por el cruce de variables y llevando a la generación de indicadores construidos juntamente con otros actores regionales.</t>
  </si>
  <si>
    <t>359 estudios de diferentes temáticas ambientales.
Centro de Datos e Indicadores Ambientales de Caldas – CDIAC y Geoportal SIMAC.  Actualmente, se procesan casi 76 millones de datos de clima, 610 mil de calidad del aire y más de 3 millones de datos de aguas subterráneas 
se culminó el proceso de publicación de la 2da edición del Libro “Definición de los Indicadores de la Línea Base Ambiental de Caldas”, el libro salió en formato digital (no impreso), esta versión estará disponible en la página del CDIAC a partir del año 2023</t>
  </si>
  <si>
    <t>"Durante el cuatrienio se ha mantenido en funcionamiento el Centro de Datos e Indicadores Ambientales de Caldas – CDIAC y Geoportal SIMAC en alianza con la Universidad Nacional y con la participación de La Gobernación de Caldas, La Alcaldía de Manizales, Aguas de Manizales, Emas y Chec; el cual consiste en:  
● Consolidar un repositorio de datos, garantizar su actualización y depuración para la medición de variables de Clima, Aire y Agua Subterránea (zona urbana de Manizales). 
● Garantizar la accesibilidad a la información ambiental generada por parte de las entidades vinculadas, a la comunidad en general a través de las páginas web del CDIAC y el SIMAC. 
Páginas web: CDIAC: http://cdiac.manizales.unal.edu.co
Geoportal SIMAC: http://cdiac.manizales.unal.edu.co/sistema-alerta-temprana/MapaManizales/
A partir de los datos almacenados en los últimos años se realizan procesos de análisis de datos de variada complejidad y con fines específicos y generales. Actualmente, se procesan casi 76 millones de datos de clima, 610 mil de calidad del aire y más de 3 millones de datos de aguas subterráneas para obtener consultas de registros detallados, pasando por el cruce de variables y llevando a la generación de indicadores construidos conjuntamente con otros actores regionales.   
Se tienen implementados 6 indicadores relacionados con calidad del aire, 10 indicadores de clima, 2 indicadores de calidad de los datos, con resultados cualitativos y cuantitativos.
Adicionalmente para la Estructuración fase V de la Línea Base Ambiental del Departamento, durante el cuatrienio se han recopilado,  analizado e incorporado  367 estudios de diferentes temáticas ambientales</t>
  </si>
  <si>
    <t>Sistema de información ambiental dinámico y articulado a la gestión territorial</t>
  </si>
  <si>
    <t>Sistema  de información ambiental construido y en operación</t>
  </si>
  <si>
    <t xml:space="preserve">contrato con la Universidad Tecnológica de Pereira cuyo objeto es: Actualizar la herramienta de visualización y procesamiento de objetos cartográficos SIGSIR </t>
  </si>
  <si>
    <t>La Plataforma Virtual SIGSIR fue desarrollada con una base de datos para el almacenamiento de información. El despliegue de las capas fue realizado en la plataforma GeoServer. Esta herramienta permite tener un control de las capas, así como la publicación y otras herramientas que se usarán en el visor de la Plataforma Virtual SIGSIR</t>
  </si>
  <si>
    <t>Red Hidrometereológica de Caldas</t>
  </si>
  <si>
    <t>Redes de monitoreo funcionando</t>
  </si>
  <si>
    <t>Sistemas articulados de redes de monitoreo en funcionamiento
 (Redes de monitoreo funcionando)</t>
  </si>
  <si>
    <t>6 redes de monitoreo funcionando: 
1) Sostenimiento - operación y mantenimiento de Red de calidad del aire.
2) Operación de la red de monitoreo de agua subterránea del departamento de Caldas.
3) Red Hidrometereológica de Manizales
4) Red Hidrometereológica de Caldas
5) Operación y mantenimiento de la red de monitoreo de agua subterránea del municipio de Manizales
6) Operación de Red de monitoreo Calidad del agua superficial del departamento</t>
  </si>
  <si>
    <t xml:space="preserve">Se tienen implementados 6 indicadores relacionados con calidad del aire, 10 indicadores de clima, 2 indicadores de calidad de los datos.
Sostenimiento - operación y mantenimiento de Red de calidad del aire.
Operación de la red de monitoreo de agua subterránea del departamento de Caldas
Red Hidrometereológica de Manizales
Red Hidrometereológica de Caldas	
Operación de Red de monitoreo Calidad Agua del departamento:  
Programa Institucional Regional de Monitoreo del Agua  - PIRMA </t>
  </si>
  <si>
    <t xml:space="preserve">"Durante el cuatrenio se ha realizado la operación y mantenimiento elmantenimiento de las siguientes redes:
1. Red de estaciones meteorológicas e hidrometeorológicas de Manizales, incluye: Estaciones para la gestión del riesgo ante desastres por deslizamiento - Red SAT por inundaciones. Manizales - Red cuencas urbanas y rurales de Manizales.
2. Red Caldas y Nevados
3. Red de Calidad Del Aire
4. Red de Aguas Subterráneas (en zona urbana de Manizales)
5. Red de Monitoreo de Agua Subterránea 
6. Red de monitoreo de Calidad del Agua Superficial del Departamento
Adicionalmente se encuentra en implementacion el Programa Institucional Regional de Monitoreo del Agua – PIRMA-, que es una herramienta que orienta el monitoreo del agua en una región determinada, se formula en concordancia con la PNGIRH y su Plan Nacional de Monitoreo del Recurso Hídrico; consiste en una herramienta para planear, organizar y articular los procesos relacionados con el monitoreo del agua.
En el año 2022, Corpocaldas dio inicio al proceso de alistamiento y diagnóstico para la formulación de este programa, basándose en la amplia experiencia de la corporación en el monitoreo del agua.
Para esta vigencia, durante esta etapa de alistamiento, Corpocaldas participó en una convocatoria de COSUDE - Agencia Suiza para el Desarrollo y la Cooperación. El objetivo de esta convocatoria fue seleccionar dos Corporaciones Autónomas Regionales para prestarles apoyo en la formulación de su PIRMA, como parte del programa ""El Agua nos une"", liderado por la División Temática Agua de COSUDE.
"			
			</t>
  </si>
  <si>
    <t>Red departamental de apoyo comunitario y sectorial, que articula las redes para el conocimiento y monitoreo de la biodiversidad, reducción de riesgos ambientales y para el desarrollo de acciones climáticas</t>
  </si>
  <si>
    <t>Redes vinculadas</t>
  </si>
  <si>
    <t>1. creación de la Red Ambiental de Caldas
2. Realización de talleres sobre herramientas comunicativas para la difusión de la gestión ambiental</t>
  </si>
  <si>
    <t>La Red Comunitaria está conformada por 15 estaciones ubicadas en las zonas urbanas de los municipios de: Aguadas, Anserma, Aranzazu, Filadelfia, La Dorada, Manzanares, Marquetalia, Norcasia, Pensilvania, Salamina y Victoria; dotadas de sensores para medir la precipitación, la temperatura, la dirección y velocidad del viento, la humedad relativa, la presión barométrica, la radiación solar y de una consola con datalogger para almacenar los datos.</t>
  </si>
  <si>
    <t>1.  Red Ambiental Caldas. busca generar herramientas y espacios de comunicación, para apoyar y dinamizar la labor de los CONSEJOS DE CUENCA  a nivel Departamental, los Comités Interinstitucionales de Educación Ambiental de Caldas – CIDEAM y de la RED DE JÓVENES DE AMBIENTE
2.  Grupos Locales de Clima
3.  se apoyaron los grupos locales del clima en 6 municipios:  Anserma, Viterbo, Filadelfia, Salamina, Manzanares, Pensilvania, Samaná</t>
  </si>
  <si>
    <t xml:space="preserve">Desde el año 2020 se crea la red ambiental de Caldas es una estrategia de Corpocaldas que busca generar herramientas y espacios de comunicación, para apoyar y dinamizar la labor de los CONSEJOS DE CUENCA a nivel Departamental, los Comités Interinstitucionales de Educación Ambiental de Caldas – CIDEAM y de la Red de jóvenes del Medio Ambiente empoderándolos hacia la ejecución y creación de contenidos que permitan dar a conocer las dinámicas de cada una de las Cuencas de Caldas y de los 27 Municipios del departamento a nivel ambiental. Para el año 2021 la red comunitaria está conformada por quince estaciones en Aguadas, Anserma, Aránzazu, Filadelfia, La Dorada, Manzanares, Marquetalia, Norcasia, Pensilvania, Salamina y Victoria, dotadas de sensores para medir la precipitación, la temperatura, la dirección y velocidad del viento, la humedad relativa, la presión barométrica, la radiación solar. 
Durante la vigencia 2002, con el apoyo del programa de ESTADO JOVEN, se apoyaron los grupos locales del clima en 6 municipios, de los 12 inscritos en el proyecto en Anserma, Viterbo, Filadelfia, Salamina, Manzanares, Pensilvania y Samaná. Las estaciones requerían mantenimiento y en algunos casos reposición de sensores, lo que hace necesario una revisión anual y capacitación para el monitoreo de los registros climáticos. Los municipios pendientes de revisión de las estaciones y su respectiva capacitación son: - Aguadas, Aránzazu, Norcasia, La Dorada, Victoria y Manzanares (Vereda Aguabonita)		</t>
  </si>
  <si>
    <t>(18) TOTAL METAS FISICAS Y FINANCIERAS*</t>
  </si>
  <si>
    <t xml:space="preserve">TIPO DE EVIDENCIA </t>
  </si>
  <si>
    <t>ESTADO CTO</t>
  </si>
  <si>
    <t>PIP SECTOR AMBIENTE</t>
  </si>
  <si>
    <t>Indicadores Mínimos de gestión</t>
  </si>
  <si>
    <t>contract</t>
  </si>
  <si>
    <t>Liquidado</t>
  </si>
  <si>
    <t>3201 Fortalecimiento del desempeño ambiental de los sectores productivos</t>
  </si>
  <si>
    <t>Porcentaje de avance en la formulación y/o ajuste de los Planes de Ordenación y Manejo de Cuencas (POMCAS), Planes de Manejo de Acuiferos (PMA), y Planes de Manejo de Microcuencas (PMM).</t>
  </si>
  <si>
    <t>functioning</t>
  </si>
  <si>
    <t>En reserva</t>
  </si>
  <si>
    <t>3202 Conservación de la biodiversidad y sus servicios ecosistémicos</t>
  </si>
  <si>
    <t>Porcentaje de cuerpos de agua con planes de ordenamiento del recurso hidrico (PORH) adoptados</t>
  </si>
  <si>
    <t>null</t>
  </si>
  <si>
    <t>Saldo a favor</t>
  </si>
  <si>
    <t>3203 Gestión integral del recurso hídrico</t>
  </si>
  <si>
    <t>En ejecución</t>
  </si>
  <si>
    <t>3204 Gestión de la información y el conocimiento ambiental</t>
  </si>
  <si>
    <t>Porcentaje de la superficie de áreas protegidas regionales declaradas, homologadas, o recategorizadas, inscritas en el RUNAP</t>
  </si>
  <si>
    <t>3205 Ordenamiento ambiental territorial</t>
  </si>
  <si>
    <t>3206 Gestión del cambio climático para un desarrollo bajo en carbono y resiliente al clima</t>
  </si>
  <si>
    <t>Porcentaje de páramos delimitados por el MADS, con zonificación y regimenes de usos adoptados por la CAR</t>
  </si>
  <si>
    <t>3207 Gestión integral de mares, costas y recursos acuáticos</t>
  </si>
  <si>
    <t>Porcentaje de municipios asesorados o asistidos en la inclusión del componenente ambiental en los procesos de planificacion y ordenamiento territorial, con enfásis en la incorporación de las determinantes ambientales para la revisión y ajuste de los POT</t>
  </si>
  <si>
    <t>3208  Educación Ambiental</t>
  </si>
  <si>
    <t xml:space="preserve">Porcentaje de redes y estaciones de monitoreo en operación </t>
  </si>
  <si>
    <t>3299 Fortalecimiento de la gestión y dirección del Sector Ambiente y Desarrollo Sostenible</t>
  </si>
  <si>
    <t>No aplica</t>
  </si>
  <si>
    <t xml:space="preserve">Tiempo promedio de tramite para la resolucion de autorizaciones ambientales otorgadas por la corporación </t>
  </si>
  <si>
    <t>Porcentaje de procesos sancionatorios resueltos</t>
  </si>
  <si>
    <t>Porcentaje de  Planes de Ordenación y Manejo de Cuencas (POMCAS), Planes de Manejo de Acuiferos (PMA), y Planes de Manejo de Microcuencas (PMM) en ejecución</t>
  </si>
  <si>
    <t>Porcentaje de especies amenazadas con medidas de conservación y manejo en ejecución.</t>
  </si>
  <si>
    <t>Porcentaje de áreas de ecosistemas en restauración, rehabilitación y reforestación.</t>
  </si>
  <si>
    <t xml:space="preserve">Porcentaje de sectores con acompañamiento para la reconversion hacia sistemas sostenibles de producción </t>
  </si>
  <si>
    <t>Implementación del programa nacional de negocios verdes por la autoridad ambiental</t>
  </si>
  <si>
    <t>Ejecución de acciones en educación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</si>
</sst>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 #,##0_-;_-* &quot;-&quot;_-;_-@_-"/>
    <numFmt numFmtId="165" formatCode="_-&quot;$&quot;\ * #,##0.00_-;\-&quot;$&quot;\ * #,##0.00_-;_-&quot;$&quot;\ * &quot;-&quot;??_-;_-@"/>
    <numFmt numFmtId="166" formatCode="_-* #,##0_-;\-* #,##0_-;_-* &quot;-&quot;??_-;_-@"/>
    <numFmt numFmtId="167" formatCode="0.0%"/>
    <numFmt numFmtId="168" formatCode="d/m/yyyy"/>
    <numFmt numFmtId="169" formatCode="#,##0.00\ &quot;€&quot;"/>
    <numFmt numFmtId="170" formatCode="[$$-240A]\ #,##0"/>
    <numFmt numFmtId="171" formatCode="0.0"/>
    <numFmt numFmtId="172" formatCode="_-* #,##0.00_-;\-* #,##0.00_-;_-* &quot;-&quot;??_-;_-@"/>
    <numFmt numFmtId="173" formatCode="[$$-240A]\ #,##0.00"/>
    <numFmt numFmtId="174" formatCode="#,##0.00_);\-#,##0.00"/>
  </numFmts>
  <fonts count="40">
    <font>
      <sz val="11"/>
      <color theme="1"/>
      <name val="Calibri"/>
      <scheme val="minor"/>
    </font>
    <font>
      <sz val="10"/>
      <color theme="1"/>
      <name val="Arial Narrow"/>
      <family val="2"/>
    </font>
    <font>
      <b/>
      <sz val="12"/>
      <color theme="1"/>
      <name val="Arial Narrow"/>
      <family val="2"/>
    </font>
    <font>
      <sz val="11"/>
      <name val="Calibri"/>
      <family val="2"/>
    </font>
    <font>
      <sz val="11"/>
      <color theme="1"/>
      <name val="Calibri"/>
      <family val="2"/>
    </font>
    <font>
      <b/>
      <sz val="11"/>
      <color theme="1"/>
      <name val="Calibri"/>
      <family val="2"/>
    </font>
    <font>
      <u/>
      <sz val="11"/>
      <color theme="10"/>
      <name val="Calibri"/>
      <family val="2"/>
    </font>
    <font>
      <u/>
      <sz val="10"/>
      <color rgb="FF0000FF"/>
      <name val="Arial Narrow"/>
      <family val="2"/>
    </font>
    <font>
      <b/>
      <sz val="10"/>
      <color theme="1"/>
      <name val="Arial Narrow"/>
      <family val="2"/>
    </font>
    <font>
      <b/>
      <sz val="11"/>
      <color theme="1"/>
      <name val="Arial Narrow"/>
      <family val="2"/>
    </font>
    <font>
      <b/>
      <sz val="11"/>
      <color theme="0"/>
      <name val="Calibri"/>
      <family val="2"/>
    </font>
    <font>
      <sz val="9"/>
      <color theme="1"/>
      <name val="Calibri"/>
      <family val="2"/>
    </font>
    <font>
      <sz val="11"/>
      <color rgb="FF000000"/>
      <name val="Calibri"/>
      <family val="2"/>
    </font>
    <font>
      <sz val="10"/>
      <color theme="1"/>
      <name val="Arial"/>
      <family val="2"/>
    </font>
    <font>
      <sz val="11"/>
      <color theme="1"/>
      <name val="Arial Narrow"/>
      <family val="2"/>
    </font>
    <font>
      <b/>
      <sz val="9"/>
      <color theme="1"/>
      <name val="Calibri"/>
      <family val="2"/>
    </font>
    <font>
      <b/>
      <sz val="10"/>
      <color theme="1"/>
      <name val="Arial"/>
      <family val="2"/>
    </font>
    <font>
      <sz val="9"/>
      <color rgb="FF000000"/>
      <name val="Calibri"/>
      <family val="2"/>
    </font>
    <font>
      <sz val="11"/>
      <color theme="0"/>
      <name val="Calibri"/>
      <family val="2"/>
    </font>
    <font>
      <sz val="11"/>
      <color rgb="FFFFFFFF"/>
      <name val="Calibri"/>
      <family val="2"/>
    </font>
    <font>
      <b/>
      <sz val="12"/>
      <color theme="1"/>
      <name val="Times New Roman"/>
      <family val="1"/>
    </font>
    <font>
      <b/>
      <sz val="9"/>
      <color theme="1"/>
      <name val="Arial Narrow"/>
      <family val="2"/>
    </font>
    <font>
      <b/>
      <sz val="7"/>
      <color theme="1"/>
      <name val="Arial Narrow"/>
      <family val="2"/>
    </font>
    <font>
      <sz val="7"/>
      <color theme="1"/>
      <name val="Arial Narrow"/>
      <family val="2"/>
    </font>
    <font>
      <u/>
      <sz val="7"/>
      <color theme="1"/>
      <name val="Arial Narrow"/>
      <family val="2"/>
    </font>
    <font>
      <i/>
      <sz val="8"/>
      <name val="Arial"/>
      <family val="2"/>
    </font>
    <font>
      <i/>
      <sz val="8"/>
      <name val="Arial"/>
    </font>
    <font>
      <sz val="8"/>
      <color rgb="FF000000"/>
      <name val="Arial"/>
    </font>
    <font>
      <sz val="8"/>
      <color theme="1"/>
      <name val="Arial"/>
    </font>
    <font>
      <sz val="8"/>
      <color rgb="FFFF0000"/>
      <name val="Arial"/>
    </font>
    <font>
      <b/>
      <i/>
      <sz val="8"/>
      <name val="Arial"/>
    </font>
    <font>
      <sz val="10"/>
      <color theme="1"/>
      <name val="Arial"/>
    </font>
    <font>
      <sz val="11"/>
      <color theme="1"/>
      <name val="Arial"/>
    </font>
    <font>
      <b/>
      <sz val="10"/>
      <color theme="1"/>
      <name val="Arial"/>
    </font>
    <font>
      <b/>
      <sz val="11"/>
      <color theme="1"/>
      <name val="Arial"/>
    </font>
    <font>
      <b/>
      <sz val="8"/>
      <color theme="1"/>
      <name val="Arial"/>
    </font>
    <font>
      <b/>
      <sz val="10"/>
      <color rgb="FF000000"/>
      <name val="Arial"/>
    </font>
    <font>
      <sz val="11"/>
      <color rgb="FF000000"/>
      <name val="Arial"/>
    </font>
    <font>
      <sz val="10"/>
      <color rgb="FF000000"/>
      <name val="Arial"/>
    </font>
    <font>
      <sz val="11"/>
      <color theme="1"/>
      <name val="Calibri"/>
      <family val="2"/>
      <scheme val="minor"/>
    </font>
  </fonts>
  <fills count="29">
    <fill>
      <patternFill patternType="none"/>
    </fill>
    <fill>
      <patternFill patternType="gray125"/>
    </fill>
    <fill>
      <patternFill patternType="solid">
        <fgColor rgb="FF2E75B5"/>
        <bgColor rgb="FF2E75B5"/>
      </patternFill>
    </fill>
    <fill>
      <patternFill patternType="solid">
        <fgColor rgb="FFCCFFFF"/>
        <bgColor rgb="FFCCFFFF"/>
      </patternFill>
    </fill>
    <fill>
      <patternFill patternType="solid">
        <fgColor rgb="FFCCFFCC"/>
        <bgColor rgb="FFCCFFCC"/>
      </patternFill>
    </fill>
    <fill>
      <patternFill patternType="solid">
        <fgColor rgb="FFFFCC99"/>
        <bgColor rgb="FFFFCC99"/>
      </patternFill>
    </fill>
    <fill>
      <patternFill patternType="solid">
        <fgColor rgb="FFFFFF99"/>
        <bgColor rgb="FFFFFF99"/>
      </patternFill>
    </fill>
    <fill>
      <patternFill patternType="solid">
        <fgColor rgb="FFFFFF00"/>
        <bgColor rgb="FFFFFF00"/>
      </patternFill>
    </fill>
    <fill>
      <patternFill patternType="solid">
        <fgColor rgb="FFFFE598"/>
        <bgColor rgb="FFFFE598"/>
      </patternFill>
    </fill>
    <fill>
      <patternFill patternType="solid">
        <fgColor rgb="FFFF99CC"/>
        <bgColor rgb="FFFF99CC"/>
      </patternFill>
    </fill>
    <fill>
      <patternFill patternType="solid">
        <fgColor rgb="FFFF00FF"/>
        <bgColor rgb="FFFF00FF"/>
      </patternFill>
    </fill>
    <fill>
      <patternFill patternType="solid">
        <fgColor rgb="FF00FF00"/>
        <bgColor rgb="FF00FF00"/>
      </patternFill>
    </fill>
    <fill>
      <patternFill patternType="solid">
        <fgColor rgb="FF66FF66"/>
        <bgColor rgb="FF66FF66"/>
      </patternFill>
    </fill>
    <fill>
      <patternFill patternType="solid">
        <fgColor rgb="FF99FF99"/>
        <bgColor rgb="FF99FF99"/>
      </patternFill>
    </fill>
    <fill>
      <patternFill patternType="solid">
        <fgColor rgb="FF002060"/>
        <bgColor rgb="FF002060"/>
      </patternFill>
    </fill>
    <fill>
      <patternFill patternType="solid">
        <fgColor rgb="FFBDD6EE"/>
        <bgColor rgb="FFBDD6EE"/>
      </patternFill>
    </fill>
    <fill>
      <patternFill patternType="solid">
        <fgColor rgb="FFE2EFD9"/>
        <bgColor rgb="FFE2EFD9"/>
      </patternFill>
    </fill>
    <fill>
      <patternFill patternType="solid">
        <fgColor rgb="FFDEEAF6"/>
        <bgColor rgb="FFDEEAF6"/>
      </patternFill>
    </fill>
    <fill>
      <patternFill patternType="solid">
        <fgColor rgb="FFFEF2CB"/>
        <bgColor rgb="FFFEF2CB"/>
      </patternFill>
    </fill>
    <fill>
      <patternFill patternType="solid">
        <fgColor rgb="FFF2F2F2"/>
        <bgColor rgb="FFF2F2F2"/>
      </patternFill>
    </fill>
    <fill>
      <patternFill patternType="solid">
        <fgColor rgb="FFFFFFFF"/>
        <bgColor rgb="FFFFFFFF"/>
      </patternFill>
    </fill>
    <fill>
      <patternFill patternType="solid">
        <fgColor rgb="FFECECEC"/>
        <bgColor rgb="FFECECEC"/>
      </patternFill>
    </fill>
    <fill>
      <patternFill patternType="solid">
        <fgColor theme="0"/>
        <bgColor theme="0"/>
      </patternFill>
    </fill>
    <fill>
      <patternFill patternType="solid">
        <fgColor theme="6" tint="0.79998168889431442"/>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s>
  <borders count="3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top style="thin">
        <color rgb="FF000000"/>
      </top>
      <bottom/>
      <diagonal/>
    </border>
    <border>
      <left style="thin">
        <color indexed="64"/>
      </left>
      <right/>
      <top style="thin">
        <color indexed="64"/>
      </top>
      <bottom/>
      <diagonal/>
    </border>
    <border>
      <left style="thin">
        <color indexed="64"/>
      </left>
      <right/>
      <top/>
      <bottom/>
      <diagonal/>
    </border>
    <border>
      <left style="medium">
        <color rgb="FF000000"/>
      </left>
      <right/>
      <top style="thin">
        <color rgb="FF000000"/>
      </top>
      <bottom style="thin">
        <color rgb="FF000000"/>
      </bottom>
      <diagonal/>
    </border>
  </borders>
  <cellStyleXfs count="1">
    <xf numFmtId="0" fontId="0" fillId="0" borderId="0"/>
  </cellStyleXfs>
  <cellXfs count="384">
    <xf numFmtId="0" fontId="0" fillId="0" borderId="0" xfId="0"/>
    <xf numFmtId="0" fontId="1" fillId="0" borderId="0" xfId="0" applyFont="1" applyAlignment="1">
      <alignment vertical="center" wrapText="1"/>
    </xf>
    <xf numFmtId="0" fontId="1" fillId="0" borderId="0" xfId="0" applyFont="1" applyAlignment="1">
      <alignment vertical="center"/>
    </xf>
    <xf numFmtId="0" fontId="4" fillId="0" borderId="0" xfId="0" applyFont="1" applyAlignment="1">
      <alignment vertical="center"/>
    </xf>
    <xf numFmtId="0" fontId="5" fillId="0" borderId="4" xfId="0" applyFont="1" applyBorder="1" applyAlignment="1">
      <alignment vertical="center"/>
    </xf>
    <xf numFmtId="0" fontId="4" fillId="0" borderId="5" xfId="0" applyFont="1" applyBorder="1" applyAlignment="1">
      <alignment vertical="center"/>
    </xf>
    <xf numFmtId="0" fontId="5" fillId="0" borderId="6" xfId="0" applyFont="1" applyBorder="1" applyAlignment="1">
      <alignment vertical="center"/>
    </xf>
    <xf numFmtId="0" fontId="4" fillId="0" borderId="7" xfId="0" applyFont="1" applyBorder="1" applyAlignment="1">
      <alignment vertical="center"/>
    </xf>
    <xf numFmtId="0" fontId="6" fillId="0" borderId="7" xfId="0" applyFont="1" applyBorder="1" applyAlignment="1">
      <alignment vertical="center"/>
    </xf>
    <xf numFmtId="0" fontId="5" fillId="0" borderId="8" xfId="0" applyFont="1" applyBorder="1" applyAlignment="1">
      <alignment vertical="center"/>
    </xf>
    <xf numFmtId="0" fontId="4" fillId="0" borderId="0" xfId="0" applyFont="1"/>
    <xf numFmtId="0" fontId="1" fillId="0" borderId="0" xfId="0" applyFont="1"/>
    <xf numFmtId="0" fontId="7" fillId="0" borderId="9" xfId="0" applyFont="1" applyBorder="1" applyAlignment="1">
      <alignment horizontal="left" vertical="top"/>
    </xf>
    <xf numFmtId="0" fontId="8" fillId="2" borderId="10" xfId="0" applyFont="1" applyFill="1" applyBorder="1" applyAlignment="1">
      <alignment vertical="center" wrapText="1"/>
    </xf>
    <xf numFmtId="0" fontId="5" fillId="0" borderId="0" xfId="0" applyFont="1"/>
    <xf numFmtId="0" fontId="5" fillId="0" borderId="0" xfId="0" applyFont="1" applyAlignment="1">
      <alignment vertical="center"/>
    </xf>
    <xf numFmtId="9" fontId="5" fillId="0" borderId="0" xfId="0" applyNumberFormat="1" applyFont="1" applyAlignment="1">
      <alignment vertical="center"/>
    </xf>
    <xf numFmtId="0" fontId="1" fillId="2" borderId="10" xfId="0" applyFont="1" applyFill="1" applyBorder="1" applyAlignment="1">
      <alignment vertical="center" wrapText="1"/>
    </xf>
    <xf numFmtId="0" fontId="8" fillId="3" borderId="10" xfId="0" applyFont="1" applyFill="1" applyBorder="1" applyAlignment="1">
      <alignment vertical="center" wrapText="1"/>
    </xf>
    <xf numFmtId="0" fontId="8" fillId="4" borderId="9" xfId="0" applyFont="1" applyFill="1" applyBorder="1" applyAlignment="1">
      <alignment horizontal="center" vertical="center" wrapText="1"/>
    </xf>
    <xf numFmtId="0" fontId="8" fillId="5" borderId="11" xfId="0" applyFont="1" applyFill="1" applyBorder="1" applyAlignment="1">
      <alignment vertical="center" wrapText="1"/>
    </xf>
    <xf numFmtId="0" fontId="8" fillId="4" borderId="13"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9" fillId="0" borderId="15" xfId="0" applyFont="1" applyBorder="1"/>
    <xf numFmtId="0" fontId="1" fillId="12" borderId="9" xfId="0" applyFont="1" applyFill="1" applyBorder="1" applyAlignment="1">
      <alignment vertical="center" wrapText="1"/>
    </xf>
    <xf numFmtId="3" fontId="8" fillId="12" borderId="9" xfId="0" applyNumberFormat="1" applyFont="1" applyFill="1" applyBorder="1" applyAlignment="1">
      <alignment vertical="center" wrapText="1"/>
    </xf>
    <xf numFmtId="1" fontId="8" fillId="12" borderId="9" xfId="0" applyNumberFormat="1" applyFont="1" applyFill="1" applyBorder="1" applyAlignment="1">
      <alignment horizontal="center" vertical="center" wrapText="1"/>
    </xf>
    <xf numFmtId="9" fontId="8" fillId="12" borderId="9" xfId="0" applyNumberFormat="1" applyFont="1" applyFill="1" applyBorder="1" applyAlignment="1">
      <alignment horizontal="center" vertical="center" wrapText="1"/>
    </xf>
    <xf numFmtId="0" fontId="8" fillId="12" borderId="9" xfId="0" applyFont="1" applyFill="1" applyBorder="1" applyAlignment="1">
      <alignment horizontal="center" vertical="center" wrapText="1"/>
    </xf>
    <xf numFmtId="3" fontId="8" fillId="12" borderId="9" xfId="0" applyNumberFormat="1" applyFont="1" applyFill="1" applyBorder="1" applyAlignment="1">
      <alignment horizontal="center" vertical="center" wrapText="1"/>
    </xf>
    <xf numFmtId="10" fontId="8" fillId="12" borderId="9" xfId="0" applyNumberFormat="1" applyFont="1" applyFill="1" applyBorder="1" applyAlignment="1">
      <alignment horizontal="right" vertical="center" wrapText="1"/>
    </xf>
    <xf numFmtId="3" fontId="8" fillId="12" borderId="9" xfId="0" applyNumberFormat="1" applyFont="1" applyFill="1" applyBorder="1" applyAlignment="1">
      <alignment horizontal="right" vertical="center" wrapText="1"/>
    </xf>
    <xf numFmtId="10" fontId="8" fillId="12" borderId="9" xfId="0" applyNumberFormat="1" applyFont="1" applyFill="1" applyBorder="1" applyAlignment="1">
      <alignment horizontal="center" vertical="center" wrapText="1"/>
    </xf>
    <xf numFmtId="166" fontId="8" fillId="12" borderId="9" xfId="0" applyNumberFormat="1" applyFont="1" applyFill="1" applyBorder="1" applyAlignment="1">
      <alignment vertical="center" wrapText="1"/>
    </xf>
    <xf numFmtId="0" fontId="10" fillId="2" borderId="9" xfId="0" applyFont="1" applyFill="1" applyBorder="1" applyAlignment="1">
      <alignment horizontal="left" vertical="center" wrapText="1"/>
    </xf>
    <xf numFmtId="0" fontId="1" fillId="13" borderId="9" xfId="0" applyFont="1" applyFill="1" applyBorder="1" applyAlignment="1">
      <alignment vertical="center" wrapText="1"/>
    </xf>
    <xf numFmtId="3" fontId="1" fillId="13" borderId="9" xfId="0" applyNumberFormat="1" applyFont="1" applyFill="1" applyBorder="1" applyAlignment="1">
      <alignment vertical="center" wrapText="1"/>
    </xf>
    <xf numFmtId="1" fontId="1" fillId="13" borderId="9" xfId="0" applyNumberFormat="1" applyFont="1" applyFill="1" applyBorder="1" applyAlignment="1">
      <alignment horizontal="center" vertical="center" wrapText="1"/>
    </xf>
    <xf numFmtId="1" fontId="8" fillId="13" borderId="9" xfId="0" applyNumberFormat="1" applyFont="1" applyFill="1" applyBorder="1" applyAlignment="1">
      <alignment horizontal="center" vertical="center" wrapText="1"/>
    </xf>
    <xf numFmtId="9" fontId="8" fillId="13" borderId="9" xfId="0" applyNumberFormat="1" applyFont="1" applyFill="1" applyBorder="1" applyAlignment="1">
      <alignment horizontal="center" vertical="center" wrapText="1"/>
    </xf>
    <xf numFmtId="3" fontId="1" fillId="13" borderId="9" xfId="0" applyNumberFormat="1" applyFont="1" applyFill="1" applyBorder="1" applyAlignment="1">
      <alignment horizontal="center" vertical="center" wrapText="1"/>
    </xf>
    <xf numFmtId="3" fontId="8" fillId="13" borderId="9" xfId="0" applyNumberFormat="1" applyFont="1" applyFill="1" applyBorder="1" applyAlignment="1">
      <alignment vertical="center" wrapText="1"/>
    </xf>
    <xf numFmtId="10" fontId="8" fillId="13" borderId="9" xfId="0" applyNumberFormat="1" applyFont="1" applyFill="1" applyBorder="1" applyAlignment="1">
      <alignment horizontal="center" vertical="center" wrapText="1"/>
    </xf>
    <xf numFmtId="3" fontId="8" fillId="13" borderId="9" xfId="0" applyNumberFormat="1" applyFont="1" applyFill="1" applyBorder="1" applyAlignment="1">
      <alignment horizontal="right" vertical="center" wrapText="1"/>
    </xf>
    <xf numFmtId="0" fontId="10" fillId="14" borderId="9" xfId="0" applyFont="1" applyFill="1" applyBorder="1" applyAlignment="1">
      <alignment horizontal="left" vertical="center" wrapText="1"/>
    </xf>
    <xf numFmtId="1" fontId="8" fillId="4" borderId="9" xfId="0" applyNumberFormat="1" applyFont="1" applyFill="1" applyBorder="1" applyAlignment="1">
      <alignment horizontal="center" vertical="center" wrapText="1"/>
    </xf>
    <xf numFmtId="9" fontId="8" fillId="4" borderId="9" xfId="0" applyNumberFormat="1" applyFont="1" applyFill="1" applyBorder="1" applyAlignment="1">
      <alignment horizontal="center" vertical="center" wrapText="1"/>
    </xf>
    <xf numFmtId="0" fontId="8" fillId="4" borderId="9" xfId="0" applyFont="1" applyFill="1" applyBorder="1" applyAlignment="1">
      <alignment vertical="center" wrapText="1"/>
    </xf>
    <xf numFmtId="3" fontId="8" fillId="4" borderId="9" xfId="0" applyNumberFormat="1" applyFont="1" applyFill="1" applyBorder="1" applyAlignment="1">
      <alignment vertical="center" wrapText="1"/>
    </xf>
    <xf numFmtId="3" fontId="8" fillId="4" borderId="9" xfId="0" applyNumberFormat="1" applyFont="1" applyFill="1" applyBorder="1" applyAlignment="1">
      <alignment horizontal="center" vertical="center" wrapText="1"/>
    </xf>
    <xf numFmtId="3" fontId="8" fillId="4" borderId="9" xfId="0" applyNumberFormat="1" applyFont="1" applyFill="1" applyBorder="1" applyAlignment="1">
      <alignment horizontal="right" vertical="center" wrapText="1"/>
    </xf>
    <xf numFmtId="10" fontId="8" fillId="4" borderId="16" xfId="0" applyNumberFormat="1" applyFont="1" applyFill="1" applyBorder="1" applyAlignment="1">
      <alignment horizontal="center" vertical="center" wrapText="1"/>
    </xf>
    <xf numFmtId="10" fontId="8" fillId="4" borderId="9" xfId="0" applyNumberFormat="1" applyFont="1" applyFill="1" applyBorder="1" applyAlignment="1">
      <alignment horizontal="center" vertical="center" wrapText="1"/>
    </xf>
    <xf numFmtId="3" fontId="1" fillId="4" borderId="9" xfId="0" applyNumberFormat="1" applyFont="1" applyFill="1" applyBorder="1" applyAlignment="1">
      <alignment vertical="center" wrapText="1"/>
    </xf>
    <xf numFmtId="0" fontId="4" fillId="16" borderId="17" xfId="0" applyFont="1" applyFill="1" applyBorder="1"/>
    <xf numFmtId="0" fontId="1" fillId="0" borderId="9" xfId="0" applyFont="1" applyBorder="1" applyAlignment="1">
      <alignment horizontal="center" vertical="center" wrapText="1"/>
    </xf>
    <xf numFmtId="0" fontId="11" fillId="17" borderId="9" xfId="0" applyFont="1" applyFill="1" applyBorder="1" applyAlignment="1">
      <alignment horizontal="center" vertical="center" wrapText="1"/>
    </xf>
    <xf numFmtId="0" fontId="11" fillId="18" borderId="9" xfId="0" applyFont="1" applyFill="1" applyBorder="1" applyAlignment="1">
      <alignment horizontal="center" vertical="center" wrapText="1"/>
    </xf>
    <xf numFmtId="0" fontId="11" fillId="19" borderId="9" xfId="0" applyFont="1" applyFill="1" applyBorder="1" applyAlignment="1">
      <alignment horizontal="center" vertical="center" wrapText="1"/>
    </xf>
    <xf numFmtId="0" fontId="11" fillId="16" borderId="9" xfId="0" applyFont="1" applyFill="1" applyBorder="1" applyAlignment="1">
      <alignment horizontal="center" vertical="center" wrapText="1"/>
    </xf>
    <xf numFmtId="1" fontId="1" fillId="0" borderId="9" xfId="0" applyNumberFormat="1" applyFont="1" applyBorder="1" applyAlignment="1">
      <alignment horizontal="center" vertical="center" wrapText="1"/>
    </xf>
    <xf numFmtId="1" fontId="8" fillId="0" borderId="9" xfId="0" applyNumberFormat="1" applyFont="1" applyBorder="1" applyAlignment="1">
      <alignment horizontal="center" vertical="center" wrapText="1"/>
    </xf>
    <xf numFmtId="9" fontId="1" fillId="0" borderId="9" xfId="0" applyNumberFormat="1" applyFont="1" applyBorder="1" applyAlignment="1">
      <alignment horizontal="center" vertical="center" wrapText="1"/>
    </xf>
    <xf numFmtId="167" fontId="1" fillId="0" borderId="9" xfId="0" applyNumberFormat="1" applyFont="1" applyBorder="1" applyAlignment="1">
      <alignment horizontal="center" vertical="center" wrapText="1"/>
    </xf>
    <xf numFmtId="168" fontId="1" fillId="0" borderId="9" xfId="0" applyNumberFormat="1" applyFont="1" applyBorder="1" applyAlignment="1">
      <alignment vertical="center" wrapText="1"/>
    </xf>
    <xf numFmtId="0" fontId="8" fillId="0" borderId="9" xfId="0" applyFont="1" applyBorder="1" applyAlignment="1">
      <alignment horizontal="center" vertical="center" wrapText="1"/>
    </xf>
    <xf numFmtId="3" fontId="1" fillId="0" borderId="9" xfId="0" applyNumberFormat="1" applyFont="1" applyBorder="1" applyAlignment="1">
      <alignment vertical="center" wrapText="1"/>
    </xf>
    <xf numFmtId="3" fontId="1" fillId="0" borderId="9" xfId="0" applyNumberFormat="1" applyFont="1" applyBorder="1" applyAlignment="1">
      <alignment wrapText="1"/>
    </xf>
    <xf numFmtId="3" fontId="1" fillId="0" borderId="9" xfId="0" applyNumberFormat="1" applyFont="1" applyBorder="1" applyAlignment="1">
      <alignment horizontal="center" vertical="center" wrapText="1"/>
    </xf>
    <xf numFmtId="9" fontId="1" fillId="0" borderId="9" xfId="0" applyNumberFormat="1" applyFont="1" applyBorder="1" applyAlignment="1">
      <alignment horizontal="center" vertical="center"/>
    </xf>
    <xf numFmtId="9" fontId="12" fillId="0" borderId="9" xfId="0" applyNumberFormat="1" applyFont="1" applyBorder="1" applyAlignment="1">
      <alignment horizontal="center"/>
    </xf>
    <xf numFmtId="10" fontId="1" fillId="0" borderId="9" xfId="0" applyNumberFormat="1" applyFont="1" applyBorder="1" applyAlignment="1">
      <alignment horizontal="center" vertical="center" wrapText="1"/>
    </xf>
    <xf numFmtId="3" fontId="8" fillId="0" borderId="9" xfId="0" applyNumberFormat="1" applyFont="1" applyBorder="1" applyAlignment="1">
      <alignment horizontal="right" vertical="center" wrapText="1"/>
    </xf>
    <xf numFmtId="169" fontId="1" fillId="0" borderId="9" xfId="0" applyNumberFormat="1" applyFont="1" applyBorder="1" applyAlignment="1">
      <alignment horizontal="right" vertical="center" wrapText="1"/>
    </xf>
    <xf numFmtId="165" fontId="8" fillId="0" borderId="9" xfId="0" applyNumberFormat="1" applyFont="1" applyBorder="1" applyAlignment="1">
      <alignment vertical="center" wrapText="1"/>
    </xf>
    <xf numFmtId="165" fontId="1" fillId="0" borderId="9" xfId="0" applyNumberFormat="1" applyFont="1" applyBorder="1" applyAlignment="1">
      <alignment vertical="center" wrapText="1"/>
    </xf>
    <xf numFmtId="9" fontId="8" fillId="0" borderId="9" xfId="0" applyNumberFormat="1" applyFont="1" applyBorder="1" applyAlignment="1">
      <alignment horizontal="center" vertical="center" wrapText="1"/>
    </xf>
    <xf numFmtId="3" fontId="8" fillId="0" borderId="9" xfId="0" applyNumberFormat="1" applyFont="1" applyBorder="1" applyAlignment="1">
      <alignment vertical="center" wrapText="1"/>
    </xf>
    <xf numFmtId="0" fontId="11" fillId="0" borderId="9" xfId="0" applyFont="1" applyBorder="1" applyAlignment="1">
      <alignment horizontal="center" vertical="center" wrapText="1"/>
    </xf>
    <xf numFmtId="167" fontId="1" fillId="0" borderId="9" xfId="0" applyNumberFormat="1" applyFont="1" applyBorder="1" applyAlignment="1">
      <alignment horizontal="center" vertical="center"/>
    </xf>
    <xf numFmtId="3" fontId="8" fillId="0" borderId="9" xfId="0" applyNumberFormat="1" applyFont="1" applyBorder="1" applyAlignment="1">
      <alignment wrapText="1"/>
    </xf>
    <xf numFmtId="3" fontId="8" fillId="0" borderId="9" xfId="0" applyNumberFormat="1" applyFont="1" applyBorder="1" applyAlignment="1">
      <alignment horizontal="center" vertical="center" wrapText="1"/>
    </xf>
    <xf numFmtId="167" fontId="8" fillId="0" borderId="9" xfId="0" applyNumberFormat="1" applyFont="1" applyBorder="1" applyAlignment="1">
      <alignment horizontal="center" vertical="center" wrapText="1"/>
    </xf>
    <xf numFmtId="167" fontId="8" fillId="0" borderId="9" xfId="0" applyNumberFormat="1" applyFont="1" applyBorder="1" applyAlignment="1">
      <alignment horizontal="center" vertical="center"/>
    </xf>
    <xf numFmtId="10" fontId="8" fillId="0" borderId="9" xfId="0" applyNumberFormat="1" applyFont="1" applyBorder="1" applyAlignment="1">
      <alignment horizontal="center" vertical="center" wrapText="1"/>
    </xf>
    <xf numFmtId="169" fontId="8" fillId="0" borderId="9" xfId="0" applyNumberFormat="1" applyFont="1" applyBorder="1" applyAlignment="1">
      <alignment horizontal="right" vertical="center" wrapText="1"/>
    </xf>
    <xf numFmtId="9" fontId="8" fillId="0" borderId="9" xfId="0" applyNumberFormat="1" applyFont="1" applyBorder="1" applyAlignment="1">
      <alignment horizontal="center" vertical="center"/>
    </xf>
    <xf numFmtId="9" fontId="1" fillId="20" borderId="9" xfId="0" applyNumberFormat="1" applyFont="1" applyFill="1" applyBorder="1" applyAlignment="1">
      <alignment horizontal="center" vertical="center" wrapText="1"/>
    </xf>
    <xf numFmtId="0" fontId="4" fillId="0" borderId="0" xfId="0" applyFont="1" applyAlignment="1">
      <alignment vertical="center" wrapText="1"/>
    </xf>
    <xf numFmtId="0" fontId="11" fillId="17" borderId="16" xfId="0" applyFont="1" applyFill="1" applyBorder="1" applyAlignment="1">
      <alignment horizontal="center" vertical="center" wrapText="1"/>
    </xf>
    <xf numFmtId="0" fontId="1" fillId="0" borderId="14" xfId="0" applyFont="1" applyBorder="1" applyAlignment="1">
      <alignment horizontal="center" vertical="center" wrapText="1"/>
    </xf>
    <xf numFmtId="0" fontId="4" fillId="0" borderId="9" xfId="0" applyFont="1" applyBorder="1" applyAlignment="1">
      <alignment horizontal="center" vertical="center"/>
    </xf>
    <xf numFmtId="3" fontId="1" fillId="0" borderId="19" xfId="0" applyNumberFormat="1" applyFont="1" applyBorder="1" applyAlignment="1">
      <alignment vertical="center" wrapText="1"/>
    </xf>
    <xf numFmtId="3" fontId="1" fillId="0" borderId="19" xfId="0" applyNumberFormat="1" applyFont="1" applyBorder="1" applyAlignment="1">
      <alignment horizontal="center" vertical="center" wrapText="1"/>
    </xf>
    <xf numFmtId="3" fontId="1" fillId="0" borderId="14" xfId="0" applyNumberFormat="1" applyFont="1" applyBorder="1" applyAlignment="1">
      <alignment vertical="center" wrapText="1"/>
    </xf>
    <xf numFmtId="3" fontId="1" fillId="0" borderId="14" xfId="0" applyNumberFormat="1" applyFont="1" applyBorder="1" applyAlignment="1">
      <alignment wrapText="1"/>
    </xf>
    <xf numFmtId="3" fontId="8" fillId="0" borderId="14" xfId="0" applyNumberFormat="1" applyFont="1" applyBorder="1" applyAlignment="1">
      <alignment vertical="center" wrapText="1"/>
    </xf>
    <xf numFmtId="3" fontId="8" fillId="0" borderId="14" xfId="0" applyNumberFormat="1" applyFont="1" applyBorder="1" applyAlignment="1">
      <alignment wrapText="1"/>
    </xf>
    <xf numFmtId="0" fontId="8" fillId="13" borderId="9" xfId="0" applyFont="1" applyFill="1" applyBorder="1" applyAlignment="1">
      <alignment vertical="center" wrapText="1"/>
    </xf>
    <xf numFmtId="1" fontId="8" fillId="13" borderId="9" xfId="0" applyNumberFormat="1" applyFont="1" applyFill="1" applyBorder="1" applyAlignment="1">
      <alignment vertical="center" wrapText="1"/>
    </xf>
    <xf numFmtId="3" fontId="8" fillId="13" borderId="9" xfId="0" applyNumberFormat="1" applyFont="1" applyFill="1" applyBorder="1" applyAlignment="1">
      <alignment horizontal="center" vertical="center" wrapText="1"/>
    </xf>
    <xf numFmtId="0" fontId="4" fillId="0" borderId="0" xfId="0" applyFont="1" applyAlignment="1">
      <alignment wrapText="1"/>
    </xf>
    <xf numFmtId="168" fontId="1" fillId="4" borderId="9" xfId="0" applyNumberFormat="1" applyFont="1" applyFill="1" applyBorder="1" applyAlignment="1">
      <alignment vertical="center" wrapText="1"/>
    </xf>
    <xf numFmtId="1" fontId="8" fillId="4" borderId="9" xfId="0" applyNumberFormat="1" applyFont="1" applyFill="1" applyBorder="1" applyAlignment="1">
      <alignment vertical="center" wrapText="1"/>
    </xf>
    <xf numFmtId="1" fontId="8" fillId="0" borderId="9" xfId="0" applyNumberFormat="1" applyFont="1" applyBorder="1" applyAlignment="1">
      <alignment vertical="center" wrapText="1"/>
    </xf>
    <xf numFmtId="171" fontId="8" fillId="0" borderId="9" xfId="0" applyNumberFormat="1" applyFont="1" applyBorder="1" applyAlignment="1">
      <alignment horizontal="center" vertical="center" wrapText="1"/>
    </xf>
    <xf numFmtId="0" fontId="18" fillId="2" borderId="9" xfId="0" applyFont="1" applyFill="1" applyBorder="1" applyAlignment="1">
      <alignment horizontal="left" vertical="center" wrapText="1"/>
    </xf>
    <xf numFmtId="4" fontId="8" fillId="13" borderId="9" xfId="0" applyNumberFormat="1" applyFont="1" applyFill="1" applyBorder="1" applyAlignment="1">
      <alignment horizontal="right" vertical="center" wrapText="1"/>
    </xf>
    <xf numFmtId="0" fontId="18" fillId="14" borderId="9" xfId="0" applyFont="1" applyFill="1" applyBorder="1" applyAlignment="1">
      <alignment horizontal="left" vertical="center" wrapText="1"/>
    </xf>
    <xf numFmtId="4" fontId="8" fillId="4" borderId="9" xfId="0" applyNumberFormat="1" applyFont="1" applyFill="1" applyBorder="1" applyAlignment="1">
      <alignment horizontal="right" vertical="center" wrapText="1"/>
    </xf>
    <xf numFmtId="0" fontId="1" fillId="0" borderId="9" xfId="0" applyFont="1" applyBorder="1" applyAlignment="1">
      <alignment vertical="center" wrapText="1"/>
    </xf>
    <xf numFmtId="0" fontId="4" fillId="0" borderId="0" xfId="0" applyFont="1" applyAlignment="1">
      <alignment horizontal="center" vertical="center"/>
    </xf>
    <xf numFmtId="9" fontId="1" fillId="22" borderId="9" xfId="0" applyNumberFormat="1" applyFont="1" applyFill="1" applyBorder="1" applyAlignment="1">
      <alignment horizontal="center" vertical="center"/>
    </xf>
    <xf numFmtId="3" fontId="1" fillId="0" borderId="9" xfId="0" applyNumberFormat="1" applyFont="1" applyBorder="1" applyAlignment="1">
      <alignment horizontal="right" vertical="center" wrapText="1"/>
    </xf>
    <xf numFmtId="10" fontId="8" fillId="0" borderId="14" xfId="0" applyNumberFormat="1" applyFont="1" applyBorder="1" applyAlignment="1">
      <alignment horizontal="center" vertical="center" wrapText="1"/>
    </xf>
    <xf numFmtId="0" fontId="8" fillId="0" borderId="9" xfId="0" applyFont="1" applyBorder="1" applyAlignment="1">
      <alignment horizontal="right" vertical="center" wrapText="1"/>
    </xf>
    <xf numFmtId="0" fontId="8" fillId="0" borderId="9" xfId="0" applyFont="1" applyBorder="1" applyAlignment="1">
      <alignment vertical="center" wrapText="1"/>
    </xf>
    <xf numFmtId="167" fontId="1" fillId="0" borderId="14" xfId="0" applyNumberFormat="1" applyFont="1" applyBorder="1" applyAlignment="1">
      <alignment horizontal="center" vertical="center" wrapText="1"/>
    </xf>
    <xf numFmtId="0" fontId="8" fillId="13" borderId="9" xfId="0" applyFont="1" applyFill="1" applyBorder="1" applyAlignment="1">
      <alignment horizontal="center" vertical="center" wrapText="1"/>
    </xf>
    <xf numFmtId="167" fontId="8" fillId="4" borderId="9" xfId="0" applyNumberFormat="1" applyFont="1" applyFill="1" applyBorder="1" applyAlignment="1">
      <alignment horizontal="center" vertical="center" wrapText="1"/>
    </xf>
    <xf numFmtId="0" fontId="1" fillId="0" borderId="9" xfId="0" applyFont="1" applyBorder="1" applyAlignment="1">
      <alignment wrapText="1"/>
    </xf>
    <xf numFmtId="0" fontId="11" fillId="17" borderId="9" xfId="0" applyFont="1" applyFill="1" applyBorder="1" applyAlignment="1">
      <alignment horizontal="center" vertical="center"/>
    </xf>
    <xf numFmtId="0" fontId="11" fillId="18" borderId="9" xfId="0" applyFont="1" applyFill="1" applyBorder="1" applyAlignment="1">
      <alignment horizontal="center" vertical="center"/>
    </xf>
    <xf numFmtId="3" fontId="1" fillId="22" borderId="9" xfId="0" applyNumberFormat="1" applyFont="1" applyFill="1" applyBorder="1" applyAlignment="1">
      <alignment horizontal="center" vertical="center" wrapText="1"/>
    </xf>
    <xf numFmtId="3" fontId="1" fillId="22" borderId="9" xfId="0" applyNumberFormat="1" applyFont="1" applyFill="1" applyBorder="1" applyAlignment="1">
      <alignment vertical="center" wrapText="1"/>
    </xf>
    <xf numFmtId="3" fontId="1" fillId="12" borderId="9" xfId="0" applyNumberFormat="1" applyFont="1" applyFill="1" applyBorder="1" applyAlignment="1">
      <alignment vertical="center" wrapText="1"/>
    </xf>
    <xf numFmtId="1" fontId="1" fillId="12" borderId="9" xfId="0" applyNumberFormat="1" applyFont="1" applyFill="1" applyBorder="1" applyAlignment="1">
      <alignment horizontal="center" vertical="center" wrapText="1"/>
    </xf>
    <xf numFmtId="0" fontId="1" fillId="12" borderId="9" xfId="0" applyFont="1" applyFill="1" applyBorder="1" applyAlignment="1">
      <alignment horizontal="center" vertical="center" wrapText="1"/>
    </xf>
    <xf numFmtId="3" fontId="1" fillId="12" borderId="9" xfId="0" applyNumberFormat="1" applyFont="1" applyFill="1" applyBorder="1" applyAlignment="1">
      <alignment horizontal="center" vertical="center" wrapText="1"/>
    </xf>
    <xf numFmtId="0" fontId="13" fillId="0" borderId="0" xfId="0" applyFont="1" applyAlignment="1">
      <alignment horizontal="center" vertical="center" wrapText="1"/>
    </xf>
    <xf numFmtId="0" fontId="8" fillId="0" borderId="9" xfId="0" applyFont="1" applyBorder="1" applyAlignment="1">
      <alignment wrapText="1"/>
    </xf>
    <xf numFmtId="0" fontId="16" fillId="0" borderId="0" xfId="0" applyFont="1" applyAlignment="1">
      <alignment horizontal="center" vertical="center" wrapText="1"/>
    </xf>
    <xf numFmtId="0" fontId="5" fillId="16" borderId="17" xfId="0" applyFont="1" applyFill="1" applyBorder="1"/>
    <xf numFmtId="0" fontId="15" fillId="19" borderId="9" xfId="0" applyFont="1" applyFill="1" applyBorder="1" applyAlignment="1">
      <alignment horizontal="center" vertical="center" wrapText="1"/>
    </xf>
    <xf numFmtId="169" fontId="8" fillId="0" borderId="14" xfId="0" applyNumberFormat="1" applyFont="1" applyBorder="1" applyAlignment="1">
      <alignment horizontal="right" vertical="center" wrapText="1"/>
    </xf>
    <xf numFmtId="3" fontId="9" fillId="0" borderId="20" xfId="0" applyNumberFormat="1" applyFont="1" applyBorder="1" applyAlignment="1">
      <alignment horizontal="center" vertical="center" wrapText="1"/>
    </xf>
    <xf numFmtId="3" fontId="9" fillId="0" borderId="21" xfId="0" applyNumberFormat="1" applyFont="1" applyBorder="1" applyAlignment="1">
      <alignment horizontal="center" vertical="center" wrapText="1"/>
    </xf>
    <xf numFmtId="3" fontId="8" fillId="22" borderId="9" xfId="0" applyNumberFormat="1" applyFont="1" applyFill="1" applyBorder="1" applyAlignment="1">
      <alignment vertical="center" wrapText="1"/>
    </xf>
    <xf numFmtId="0" fontId="15" fillId="18" borderId="9" xfId="0" applyFont="1" applyFill="1" applyBorder="1" applyAlignment="1">
      <alignment horizontal="center" vertical="center" wrapText="1"/>
    </xf>
    <xf numFmtId="0" fontId="19" fillId="2" borderId="9" xfId="0" applyFont="1" applyFill="1" applyBorder="1" applyAlignment="1">
      <alignment horizontal="left" vertical="center" wrapText="1"/>
    </xf>
    <xf numFmtId="0" fontId="19" fillId="14" borderId="9" xfId="0" applyFont="1" applyFill="1" applyBorder="1" applyAlignment="1">
      <alignment horizontal="left" vertical="center" wrapText="1"/>
    </xf>
    <xf numFmtId="0" fontId="1" fillId="0" borderId="14" xfId="0" applyFont="1" applyBorder="1" applyAlignment="1">
      <alignment vertical="center" wrapText="1"/>
    </xf>
    <xf numFmtId="0" fontId="1" fillId="0" borderId="0" xfId="0" applyFont="1" applyAlignment="1">
      <alignment horizontal="center" vertical="center" wrapText="1"/>
    </xf>
    <xf numFmtId="0" fontId="8" fillId="0" borderId="0" xfId="0" applyFont="1" applyAlignment="1">
      <alignment horizontal="center" vertical="center" wrapText="1"/>
    </xf>
    <xf numFmtId="165" fontId="1" fillId="0" borderId="0" xfId="0" applyNumberFormat="1" applyFont="1" applyAlignment="1">
      <alignment vertical="center" wrapText="1"/>
    </xf>
    <xf numFmtId="0" fontId="1" fillId="0" borderId="0" xfId="0" applyFont="1" applyAlignment="1">
      <alignment horizontal="right" vertical="center" wrapText="1"/>
    </xf>
    <xf numFmtId="10" fontId="1" fillId="0" borderId="0" xfId="0" applyNumberFormat="1" applyFont="1" applyAlignment="1">
      <alignment horizontal="center" vertical="center" wrapText="1"/>
    </xf>
    <xf numFmtId="173" fontId="1" fillId="0" borderId="0" xfId="0" applyNumberFormat="1" applyFont="1" applyAlignment="1">
      <alignment vertical="center" wrapText="1"/>
    </xf>
    <xf numFmtId="174" fontId="20" fillId="22" borderId="17" xfId="0" applyNumberFormat="1" applyFont="1" applyFill="1" applyBorder="1" applyAlignment="1">
      <alignment horizontal="right" vertical="center"/>
    </xf>
    <xf numFmtId="0" fontId="8" fillId="0" borderId="0" xfId="0" applyFont="1" applyAlignment="1">
      <alignment vertical="center" wrapText="1"/>
    </xf>
    <xf numFmtId="9" fontId="8" fillId="0" borderId="0" xfId="0" applyNumberFormat="1" applyFont="1" applyAlignment="1">
      <alignment horizontal="center" vertical="center" wrapText="1"/>
    </xf>
    <xf numFmtId="165" fontId="8" fillId="0" borderId="0" xfId="0" applyNumberFormat="1" applyFont="1" applyAlignment="1">
      <alignment vertical="center" wrapText="1"/>
    </xf>
    <xf numFmtId="0" fontId="8" fillId="0" borderId="0" xfId="0" applyFont="1" applyAlignment="1">
      <alignment horizontal="right" vertical="center" wrapText="1"/>
    </xf>
    <xf numFmtId="10" fontId="8" fillId="0" borderId="0" xfId="0" applyNumberFormat="1" applyFont="1" applyAlignment="1">
      <alignment horizontal="center" vertical="center" wrapText="1"/>
    </xf>
    <xf numFmtId="173" fontId="2" fillId="0" borderId="0" xfId="0" applyNumberFormat="1" applyFont="1" applyAlignment="1">
      <alignment vertical="center" wrapText="1"/>
    </xf>
    <xf numFmtId="165" fontId="5" fillId="0" borderId="0" xfId="0" applyNumberFormat="1" applyFont="1"/>
    <xf numFmtId="10" fontId="5" fillId="0" borderId="0" xfId="0" applyNumberFormat="1" applyFont="1"/>
    <xf numFmtId="0" fontId="13" fillId="0" borderId="0" xfId="0" applyFont="1" applyAlignment="1">
      <alignment vertical="center"/>
    </xf>
    <xf numFmtId="0" fontId="22" fillId="4" borderId="25" xfId="0" applyFont="1" applyFill="1" applyBorder="1" applyAlignment="1">
      <alignment horizontal="center" vertical="center" wrapText="1"/>
    </xf>
    <xf numFmtId="0" fontId="22" fillId="0" borderId="26" xfId="0" applyFont="1" applyBorder="1" applyAlignment="1">
      <alignment vertical="center" wrapText="1"/>
    </xf>
    <xf numFmtId="0" fontId="23" fillId="0" borderId="26" xfId="0" applyFont="1" applyBorder="1" applyAlignment="1">
      <alignment horizontal="left" vertical="center" wrapText="1"/>
    </xf>
    <xf numFmtId="0" fontId="23" fillId="0" borderId="27" xfId="0" applyFont="1" applyBorder="1" applyAlignment="1">
      <alignment horizontal="left" vertical="center" wrapText="1"/>
    </xf>
    <xf numFmtId="0" fontId="23" fillId="0" borderId="28" xfId="0" applyFont="1" applyBorder="1" applyAlignment="1">
      <alignment horizontal="left" vertical="center" wrapText="1"/>
    </xf>
    <xf numFmtId="0" fontId="22" fillId="0" borderId="29" xfId="0" applyFont="1" applyBorder="1" applyAlignment="1">
      <alignment vertical="center" wrapText="1"/>
    </xf>
    <xf numFmtId="0" fontId="23" fillId="0" borderId="29" xfId="0" applyFont="1" applyBorder="1" applyAlignment="1">
      <alignment horizontal="left" vertical="center" wrapText="1"/>
    </xf>
    <xf numFmtId="0" fontId="4" fillId="20" borderId="9" xfId="0" applyFont="1" applyFill="1" applyBorder="1" applyAlignment="1">
      <alignment wrapText="1"/>
    </xf>
    <xf numFmtId="0" fontId="13" fillId="0" borderId="0" xfId="0" applyFont="1"/>
    <xf numFmtId="0" fontId="4" fillId="20" borderId="30" xfId="0" applyFont="1" applyFill="1" applyBorder="1"/>
    <xf numFmtId="0" fontId="14" fillId="0" borderId="9" xfId="0" applyFont="1" applyBorder="1" applyAlignment="1">
      <alignment horizontal="left" vertical="center" wrapText="1"/>
    </xf>
    <xf numFmtId="0" fontId="4" fillId="20" borderId="9" xfId="0" applyFont="1" applyFill="1" applyBorder="1"/>
    <xf numFmtId="0" fontId="14" fillId="0" borderId="9" xfId="0" applyFont="1" applyBorder="1" applyAlignment="1">
      <alignment wrapText="1"/>
    </xf>
    <xf numFmtId="0" fontId="8" fillId="8" borderId="14" xfId="0" applyFont="1" applyFill="1" applyBorder="1" applyAlignment="1">
      <alignment horizontal="center" vertical="center" wrapText="1"/>
    </xf>
    <xf numFmtId="0" fontId="8" fillId="6" borderId="13" xfId="0" applyFont="1" applyFill="1" applyBorder="1" applyAlignment="1">
      <alignment horizontal="center" wrapText="1"/>
    </xf>
    <xf numFmtId="3" fontId="8" fillId="13" borderId="14" xfId="0" applyNumberFormat="1" applyFont="1" applyFill="1" applyBorder="1" applyAlignment="1">
      <alignment horizontal="right" vertical="center" wrapText="1"/>
    </xf>
    <xf numFmtId="3" fontId="8" fillId="4" borderId="14" xfId="0" applyNumberFormat="1" applyFont="1" applyFill="1" applyBorder="1" applyAlignment="1">
      <alignment horizontal="right" vertical="center" wrapText="1"/>
    </xf>
    <xf numFmtId="3" fontId="8" fillId="12" borderId="14" xfId="0" applyNumberFormat="1" applyFont="1" applyFill="1" applyBorder="1" applyAlignment="1">
      <alignment horizontal="right" vertical="center" wrapText="1"/>
    </xf>
    <xf numFmtId="0" fontId="8" fillId="9" borderId="31"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5" fillId="0" borderId="34" xfId="0" applyFont="1" applyBorder="1"/>
    <xf numFmtId="10" fontId="8" fillId="8" borderId="32" xfId="0" applyNumberFormat="1" applyFont="1" applyFill="1" applyBorder="1" applyAlignment="1">
      <alignment horizontal="center" vertical="center" wrapText="1"/>
    </xf>
    <xf numFmtId="166" fontId="8" fillId="12" borderId="16" xfId="0" applyNumberFormat="1" applyFont="1" applyFill="1" applyBorder="1" applyAlignment="1">
      <alignment vertical="center" wrapText="1"/>
    </xf>
    <xf numFmtId="10" fontId="8" fillId="12" borderId="32" xfId="0" applyNumberFormat="1"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1" fillId="2" borderId="17" xfId="0" applyFont="1" applyFill="1" applyBorder="1" applyAlignment="1">
      <alignment vertical="center" wrapText="1"/>
    </xf>
    <xf numFmtId="0" fontId="8" fillId="3" borderId="17" xfId="0" applyFont="1" applyFill="1" applyBorder="1" applyAlignment="1">
      <alignment vertical="center" wrapText="1"/>
    </xf>
    <xf numFmtId="0" fontId="8" fillId="4" borderId="18" xfId="0" applyFont="1" applyFill="1" applyBorder="1" applyAlignment="1">
      <alignment horizontal="center" vertical="center" wrapText="1"/>
    </xf>
    <xf numFmtId="0" fontId="5" fillId="15" borderId="14" xfId="0" applyFont="1" applyFill="1" applyBorder="1" applyAlignment="1">
      <alignment vertical="center" wrapText="1"/>
    </xf>
    <xf numFmtId="0" fontId="5" fillId="15" borderId="21" xfId="0" applyFont="1" applyFill="1" applyBorder="1" applyAlignment="1">
      <alignment vertical="center" wrapText="1"/>
    </xf>
    <xf numFmtId="0" fontId="1" fillId="0" borderId="11" xfId="0" applyFont="1" applyBorder="1" applyAlignment="1">
      <alignment vertical="center" wrapText="1"/>
    </xf>
    <xf numFmtId="9" fontId="1" fillId="0" borderId="14" xfId="0" applyNumberFormat="1" applyFont="1" applyBorder="1" applyAlignment="1">
      <alignment horizontal="center" vertical="center" wrapText="1"/>
    </xf>
    <xf numFmtId="168" fontId="1" fillId="0" borderId="16" xfId="0" applyNumberFormat="1" applyFont="1" applyBorder="1" applyAlignment="1">
      <alignment vertical="center" wrapText="1"/>
    </xf>
    <xf numFmtId="0" fontId="1" fillId="12" borderId="16" xfId="0" applyFont="1" applyFill="1" applyBorder="1" applyAlignment="1">
      <alignment vertical="center" wrapText="1"/>
    </xf>
    <xf numFmtId="9" fontId="8" fillId="12" borderId="12" xfId="0" applyNumberFormat="1" applyFont="1" applyFill="1" applyBorder="1" applyAlignment="1">
      <alignment horizontal="center" vertical="center" wrapText="1"/>
    </xf>
    <xf numFmtId="9" fontId="8" fillId="4" borderId="14" xfId="0" applyNumberFormat="1" applyFont="1" applyFill="1" applyBorder="1" applyAlignment="1">
      <alignment horizontal="center" vertical="center" wrapText="1"/>
    </xf>
    <xf numFmtId="0" fontId="4" fillId="0" borderId="11" xfId="0" applyFont="1" applyBorder="1" applyAlignment="1">
      <alignment vertical="center"/>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4" borderId="14" xfId="0" applyFont="1" applyFill="1" applyBorder="1" applyAlignment="1">
      <alignment horizontal="center" vertical="center" wrapText="1"/>
    </xf>
    <xf numFmtId="0" fontId="5" fillId="0" borderId="11" xfId="0" applyFont="1" applyBorder="1"/>
    <xf numFmtId="0" fontId="5" fillId="0" borderId="16" xfId="0" applyFont="1" applyBorder="1"/>
    <xf numFmtId="0" fontId="5" fillId="4" borderId="19" xfId="0" applyFont="1" applyFill="1" applyBorder="1"/>
    <xf numFmtId="0" fontId="8" fillId="6" borderId="20"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8" fillId="10" borderId="18" xfId="0" applyFont="1" applyFill="1" applyBorder="1" applyAlignment="1">
      <alignment horizontal="center" vertical="center" wrapText="1"/>
    </xf>
    <xf numFmtId="0" fontId="8" fillId="11" borderId="18" xfId="0" applyFont="1" applyFill="1" applyBorder="1" applyAlignment="1">
      <alignment horizontal="center" vertical="center" wrapText="1"/>
    </xf>
    <xf numFmtId="0" fontId="4" fillId="0" borderId="11" xfId="0" applyFont="1" applyBorder="1"/>
    <xf numFmtId="0" fontId="11" fillId="16" borderId="14" xfId="0" applyFont="1" applyFill="1" applyBorder="1" applyAlignment="1">
      <alignment horizontal="center" vertical="center" wrapText="1"/>
    </xf>
    <xf numFmtId="0" fontId="11" fillId="19" borderId="18" xfId="0" applyFont="1" applyFill="1" applyBorder="1" applyAlignment="1">
      <alignment horizontal="center" vertical="center" wrapText="1"/>
    </xf>
    <xf numFmtId="0" fontId="15" fillId="19" borderId="18" xfId="0" applyFont="1" applyFill="1" applyBorder="1" applyAlignment="1">
      <alignment horizontal="center" vertical="center" wrapText="1"/>
    </xf>
    <xf numFmtId="1" fontId="8" fillId="13" borderId="18" xfId="0" applyNumberFormat="1" applyFont="1" applyFill="1" applyBorder="1" applyAlignment="1">
      <alignment horizontal="center" vertical="center" wrapText="1"/>
    </xf>
    <xf numFmtId="0" fontId="11" fillId="16" borderId="14" xfId="0" applyFont="1" applyFill="1" applyBorder="1" applyAlignment="1">
      <alignment horizontal="center" vertical="center"/>
    </xf>
    <xf numFmtId="0" fontId="11" fillId="19" borderId="18" xfId="0" applyFont="1" applyFill="1" applyBorder="1" applyAlignment="1">
      <alignment horizontal="center" vertical="center"/>
    </xf>
    <xf numFmtId="172" fontId="4" fillId="0" borderId="11" xfId="0" applyNumberFormat="1" applyFont="1" applyBorder="1"/>
    <xf numFmtId="4" fontId="4" fillId="0" borderId="11" xfId="0" applyNumberFormat="1" applyFont="1" applyBorder="1"/>
    <xf numFmtId="3" fontId="4" fillId="0" borderId="11" xfId="0" applyNumberFormat="1" applyFont="1" applyBorder="1"/>
    <xf numFmtId="0" fontId="4" fillId="0" borderId="16" xfId="0" applyFont="1" applyBorder="1"/>
    <xf numFmtId="0" fontId="28" fillId="0" borderId="16" xfId="0" applyFont="1" applyBorder="1" applyAlignment="1">
      <alignment horizontal="left" vertical="center" wrapText="1"/>
    </xf>
    <xf numFmtId="0" fontId="28" fillId="0" borderId="9" xfId="0" applyFont="1" applyBorder="1" applyAlignment="1">
      <alignment horizontal="left" vertical="center" wrapText="1"/>
    </xf>
    <xf numFmtId="167" fontId="28" fillId="0" borderId="9" xfId="0" applyNumberFormat="1" applyFont="1" applyBorder="1" applyAlignment="1">
      <alignment horizontal="center" vertical="center" wrapText="1"/>
    </xf>
    <xf numFmtId="0" fontId="11" fillId="23" borderId="9" xfId="0" applyFont="1" applyFill="1" applyBorder="1" applyAlignment="1">
      <alignment horizontal="center" vertical="center" wrapText="1"/>
    </xf>
    <xf numFmtId="0" fontId="11" fillId="23" borderId="18" xfId="0" applyFont="1" applyFill="1" applyBorder="1" applyAlignment="1">
      <alignment horizontal="center" vertical="center" wrapText="1"/>
    </xf>
    <xf numFmtId="0" fontId="15" fillId="23" borderId="18" xfId="0" applyFont="1" applyFill="1" applyBorder="1" applyAlignment="1">
      <alignment horizontal="center" vertical="center" wrapText="1"/>
    </xf>
    <xf numFmtId="0" fontId="17" fillId="23" borderId="18" xfId="0" applyFont="1" applyFill="1" applyBorder="1" applyAlignment="1">
      <alignment horizontal="center" vertical="center" wrapText="1"/>
    </xf>
    <xf numFmtId="0" fontId="11" fillId="23" borderId="17" xfId="0" applyFont="1" applyFill="1" applyBorder="1" applyAlignment="1">
      <alignment horizontal="center" vertical="center"/>
    </xf>
    <xf numFmtId="0" fontId="17" fillId="23" borderId="18" xfId="0" applyFont="1" applyFill="1" applyBorder="1" applyAlignment="1">
      <alignment horizontal="center" vertical="center"/>
    </xf>
    <xf numFmtId="1" fontId="1" fillId="23" borderId="9" xfId="0" applyNumberFormat="1" applyFont="1" applyFill="1" applyBorder="1" applyAlignment="1">
      <alignment horizontal="center" vertical="center" wrapText="1"/>
    </xf>
    <xf numFmtId="1" fontId="8" fillId="24" borderId="9" xfId="0" applyNumberFormat="1" applyFont="1" applyFill="1" applyBorder="1" applyAlignment="1">
      <alignment horizontal="center" vertical="center" wrapText="1"/>
    </xf>
    <xf numFmtId="0" fontId="28" fillId="0" borderId="9" xfId="0" applyFont="1" applyBorder="1" applyAlignment="1">
      <alignment horizontal="center" vertical="center" wrapText="1"/>
    </xf>
    <xf numFmtId="0" fontId="28" fillId="0" borderId="9" xfId="0" applyFont="1" applyBorder="1" applyAlignment="1">
      <alignment vertical="center" wrapText="1"/>
    </xf>
    <xf numFmtId="0" fontId="28" fillId="0" borderId="9" xfId="0" applyFont="1" applyBorder="1"/>
    <xf numFmtId="0" fontId="28" fillId="0" borderId="16" xfId="0" applyFont="1" applyBorder="1" applyAlignment="1">
      <alignment vertical="center" wrapText="1"/>
    </xf>
    <xf numFmtId="0" fontId="8" fillId="25" borderId="9" xfId="0" applyFont="1" applyFill="1" applyBorder="1" applyAlignment="1">
      <alignment horizontal="center" vertical="center"/>
    </xf>
    <xf numFmtId="9" fontId="1" fillId="26" borderId="9" xfId="0" applyNumberFormat="1" applyFont="1" applyFill="1" applyBorder="1" applyAlignment="1">
      <alignment horizontal="center" vertical="center" wrapText="1"/>
    </xf>
    <xf numFmtId="0" fontId="17" fillId="0" borderId="9" xfId="0" applyFont="1" applyBorder="1" applyAlignment="1">
      <alignment horizontal="left" vertical="center" wrapText="1"/>
    </xf>
    <xf numFmtId="9" fontId="33" fillId="13" borderId="9" xfId="0" applyNumberFormat="1" applyFont="1" applyFill="1" applyBorder="1" applyAlignment="1">
      <alignment horizontal="center" vertical="center" wrapText="1"/>
    </xf>
    <xf numFmtId="9" fontId="33" fillId="4" borderId="9" xfId="0" applyNumberFormat="1" applyFont="1" applyFill="1" applyBorder="1" applyAlignment="1">
      <alignment horizontal="center" vertical="center" wrapText="1"/>
    </xf>
    <xf numFmtId="167" fontId="28" fillId="0" borderId="13" xfId="0" applyNumberFormat="1" applyFont="1" applyBorder="1" applyAlignment="1">
      <alignment horizontal="center" vertical="center" wrapText="1"/>
    </xf>
    <xf numFmtId="0" fontId="28" fillId="21" borderId="9" xfId="0" applyFont="1" applyFill="1" applyBorder="1" applyAlignment="1">
      <alignment horizontal="left" vertical="center" wrapText="1"/>
    </xf>
    <xf numFmtId="0" fontId="27" fillId="0" borderId="13" xfId="0" applyFont="1" applyBorder="1" applyAlignment="1">
      <alignment horizontal="left" vertical="center" wrapText="1"/>
    </xf>
    <xf numFmtId="0" fontId="27" fillId="0" borderId="9" xfId="0" applyFont="1" applyBorder="1" applyAlignment="1">
      <alignment horizontal="left" vertical="center" wrapText="1"/>
    </xf>
    <xf numFmtId="3" fontId="28" fillId="0" borderId="9" xfId="0" applyNumberFormat="1" applyFont="1" applyBorder="1" applyAlignment="1">
      <alignment horizontal="left" vertical="center" wrapText="1"/>
    </xf>
    <xf numFmtId="3" fontId="28" fillId="0" borderId="32" xfId="0" applyNumberFormat="1" applyFont="1" applyBorder="1" applyAlignment="1">
      <alignment horizontal="left" vertical="center" wrapText="1"/>
    </xf>
    <xf numFmtId="0" fontId="26" fillId="0" borderId="35" xfId="0" applyFont="1" applyBorder="1" applyAlignment="1">
      <alignment horizontal="left" vertical="center" wrapText="1"/>
    </xf>
    <xf numFmtId="0" fontId="26" fillId="0" borderId="32" xfId="0" applyFont="1" applyBorder="1" applyAlignment="1">
      <alignment horizontal="left" vertical="center" wrapText="1"/>
    </xf>
    <xf numFmtId="0" fontId="28" fillId="0" borderId="18" xfId="0" applyFont="1" applyBorder="1" applyAlignment="1">
      <alignment horizontal="left" vertical="center" wrapText="1"/>
    </xf>
    <xf numFmtId="9" fontId="35" fillId="4" borderId="14" xfId="0" applyNumberFormat="1" applyFont="1" applyFill="1" applyBorder="1" applyAlignment="1">
      <alignment horizontal="left" vertical="center" wrapText="1"/>
    </xf>
    <xf numFmtId="9" fontId="35" fillId="4" borderId="19" xfId="0" applyNumberFormat="1" applyFont="1" applyFill="1" applyBorder="1" applyAlignment="1">
      <alignment horizontal="left" vertical="center" wrapText="1"/>
    </xf>
    <xf numFmtId="167" fontId="28" fillId="0" borderId="9" xfId="0" applyNumberFormat="1" applyFont="1" applyBorder="1" applyAlignment="1">
      <alignment horizontal="left" vertical="center" wrapText="1"/>
    </xf>
    <xf numFmtId="9" fontId="35" fillId="12" borderId="12" xfId="0" applyNumberFormat="1" applyFont="1" applyFill="1" applyBorder="1" applyAlignment="1">
      <alignment horizontal="left" vertical="center" wrapText="1"/>
    </xf>
    <xf numFmtId="9" fontId="35" fillId="13" borderId="9" xfId="0" applyNumberFormat="1" applyFont="1" applyFill="1" applyBorder="1" applyAlignment="1">
      <alignment horizontal="left" vertical="center" wrapText="1"/>
    </xf>
    <xf numFmtId="9" fontId="35" fillId="4" borderId="21" xfId="0" applyNumberFormat="1" applyFont="1" applyFill="1" applyBorder="1" applyAlignment="1">
      <alignment horizontal="left" vertical="center" wrapText="1"/>
    </xf>
    <xf numFmtId="0" fontId="27" fillId="0" borderId="18" xfId="0" applyFont="1" applyBorder="1" applyAlignment="1">
      <alignment horizontal="left" vertical="center" wrapText="1"/>
    </xf>
    <xf numFmtId="0" fontId="26" fillId="0" borderId="35" xfId="0" applyFont="1" applyBorder="1" applyAlignment="1">
      <alignment horizontal="left" vertical="top" wrapText="1"/>
    </xf>
    <xf numFmtId="0" fontId="26" fillId="0" borderId="36" xfId="0" applyFont="1" applyBorder="1" applyAlignment="1">
      <alignment horizontal="left" vertical="center" wrapText="1"/>
    </xf>
    <xf numFmtId="0" fontId="35" fillId="0" borderId="12" xfId="0" applyFont="1" applyBorder="1" applyAlignment="1">
      <alignment horizontal="left" wrapText="1"/>
    </xf>
    <xf numFmtId="167" fontId="28" fillId="0" borderId="14" xfId="0" applyNumberFormat="1" applyFont="1" applyBorder="1" applyAlignment="1">
      <alignment horizontal="left" vertical="center" wrapText="1"/>
    </xf>
    <xf numFmtId="3" fontId="28" fillId="0" borderId="37" xfId="0" applyNumberFormat="1" applyFont="1" applyBorder="1" applyAlignment="1">
      <alignment horizontal="left" vertical="center" wrapText="1"/>
    </xf>
    <xf numFmtId="167" fontId="35" fillId="4" borderId="14" xfId="0" applyNumberFormat="1" applyFont="1" applyFill="1" applyBorder="1" applyAlignment="1">
      <alignment horizontal="left" vertical="center" wrapText="1"/>
    </xf>
    <xf numFmtId="0" fontId="28" fillId="0" borderId="0" xfId="0" applyFont="1" applyAlignment="1">
      <alignment horizontal="left" vertical="center" wrapText="1"/>
    </xf>
    <xf numFmtId="9" fontId="35" fillId="4" borderId="9" xfId="0" applyNumberFormat="1" applyFont="1" applyFill="1" applyBorder="1" applyAlignment="1">
      <alignment horizontal="left" vertical="center" wrapText="1"/>
    </xf>
    <xf numFmtId="9" fontId="28" fillId="0" borderId="9" xfId="0" applyNumberFormat="1" applyFont="1" applyBorder="1" applyAlignment="1">
      <alignment horizontal="left" vertical="center" wrapText="1"/>
    </xf>
    <xf numFmtId="0" fontId="11" fillId="0" borderId="18" xfId="0" applyFont="1" applyBorder="1" applyAlignment="1">
      <alignment horizontal="left" vertical="center" wrapText="1"/>
    </xf>
    <xf numFmtId="3" fontId="11" fillId="0" borderId="37" xfId="0" applyNumberFormat="1" applyFont="1" applyBorder="1" applyAlignment="1">
      <alignment horizontal="left" vertical="center" wrapText="1"/>
    </xf>
    <xf numFmtId="0" fontId="17" fillId="0" borderId="0" xfId="0" applyFont="1" applyAlignment="1">
      <alignment horizontal="left" vertical="center" wrapText="1"/>
    </xf>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35" fillId="0" borderId="32" xfId="0" applyFont="1" applyBorder="1" applyAlignment="1">
      <alignment horizontal="left" vertical="center" wrapText="1"/>
    </xf>
    <xf numFmtId="0" fontId="4" fillId="0" borderId="9" xfId="0" applyFont="1" applyBorder="1" applyAlignment="1">
      <alignment horizontal="left" vertical="center" wrapText="1"/>
    </xf>
    <xf numFmtId="0" fontId="25" fillId="0" borderId="35" xfId="0" applyFont="1" applyBorder="1" applyAlignment="1">
      <alignment horizontal="left" vertical="center" wrapText="1"/>
    </xf>
    <xf numFmtId="0" fontId="16" fillId="0" borderId="0" xfId="0" applyFont="1" applyAlignment="1">
      <alignment horizontal="left" vertical="center" wrapText="1"/>
    </xf>
    <xf numFmtId="9" fontId="36" fillId="0" borderId="18" xfId="0" applyNumberFormat="1" applyFont="1" applyBorder="1" applyAlignment="1">
      <alignment horizontal="center" vertical="center"/>
    </xf>
    <xf numFmtId="9" fontId="38" fillId="0" borderId="18" xfId="0" applyNumberFormat="1" applyFont="1" applyBorder="1" applyAlignment="1">
      <alignment horizontal="center" vertical="center"/>
    </xf>
    <xf numFmtId="9" fontId="33" fillId="12" borderId="9" xfId="0" applyNumberFormat="1" applyFont="1" applyFill="1" applyBorder="1" applyAlignment="1">
      <alignment horizontal="center" vertical="center" wrapText="1"/>
    </xf>
    <xf numFmtId="9" fontId="36" fillId="0" borderId="9" xfId="0" applyNumberFormat="1" applyFont="1" applyBorder="1" applyAlignment="1">
      <alignment horizontal="center" vertical="center" wrapText="1"/>
    </xf>
    <xf numFmtId="9" fontId="36" fillId="0" borderId="9" xfId="0" applyNumberFormat="1" applyFont="1" applyBorder="1" applyAlignment="1">
      <alignment horizontal="center" vertical="center"/>
    </xf>
    <xf numFmtId="9" fontId="38" fillId="0" borderId="9" xfId="0" applyNumberFormat="1" applyFont="1" applyBorder="1" applyAlignment="1">
      <alignment horizontal="center" vertical="center"/>
    </xf>
    <xf numFmtId="9" fontId="38" fillId="0" borderId="14" xfId="0" applyNumberFormat="1" applyFont="1" applyBorder="1" applyAlignment="1">
      <alignment horizontal="center" vertical="center"/>
    </xf>
    <xf numFmtId="9" fontId="36" fillId="0" borderId="19" xfId="0" applyNumberFormat="1" applyFont="1" applyBorder="1" applyAlignment="1">
      <alignment horizontal="center" vertical="center"/>
    </xf>
    <xf numFmtId="9" fontId="38" fillId="0" borderId="19" xfId="0" applyNumberFormat="1" applyFont="1" applyBorder="1" applyAlignment="1">
      <alignment horizontal="center" vertical="center"/>
    </xf>
    <xf numFmtId="9" fontId="38" fillId="0" borderId="20" xfId="0" applyNumberFormat="1" applyFont="1" applyBorder="1" applyAlignment="1">
      <alignment horizontal="center" vertical="center"/>
    </xf>
    <xf numFmtId="9" fontId="36" fillId="0" borderId="20" xfId="0" applyNumberFormat="1" applyFont="1" applyBorder="1" applyAlignment="1">
      <alignment horizontal="center" vertical="center"/>
    </xf>
    <xf numFmtId="3" fontId="33" fillId="24" borderId="9" xfId="0" applyNumberFormat="1" applyFont="1" applyFill="1" applyBorder="1" applyAlignment="1">
      <alignment horizontal="right" vertical="center" wrapText="1"/>
    </xf>
    <xf numFmtId="3" fontId="33" fillId="4" borderId="9" xfId="0" applyNumberFormat="1" applyFont="1" applyFill="1" applyBorder="1" applyAlignment="1">
      <alignment horizontal="right" vertical="center" wrapText="1"/>
    </xf>
    <xf numFmtId="170" fontId="31" fillId="0" borderId="9" xfId="0" applyNumberFormat="1" applyFont="1" applyBorder="1" applyAlignment="1">
      <alignment horizontal="right" vertical="center"/>
    </xf>
    <xf numFmtId="3" fontId="34" fillId="12" borderId="9" xfId="0" applyNumberFormat="1" applyFont="1" applyFill="1" applyBorder="1" applyAlignment="1">
      <alignment vertical="center" wrapText="1"/>
    </xf>
    <xf numFmtId="3" fontId="34" fillId="13" borderId="9" xfId="0" applyNumberFormat="1" applyFont="1" applyFill="1" applyBorder="1" applyAlignment="1">
      <alignment vertical="center" wrapText="1"/>
    </xf>
    <xf numFmtId="3" fontId="34" fillId="4" borderId="9" xfId="0" applyNumberFormat="1" applyFont="1" applyFill="1" applyBorder="1" applyAlignment="1">
      <alignment vertical="center" wrapText="1"/>
    </xf>
    <xf numFmtId="3" fontId="38" fillId="0" borderId="9" xfId="0" applyNumberFormat="1" applyFont="1" applyBorder="1" applyAlignment="1">
      <alignment horizontal="right" vertical="center"/>
    </xf>
    <xf numFmtId="3" fontId="33" fillId="12" borderId="9" xfId="0" applyNumberFormat="1" applyFont="1" applyFill="1" applyBorder="1" applyAlignment="1">
      <alignment horizontal="right" vertical="center" wrapText="1"/>
    </xf>
    <xf numFmtId="3" fontId="33" fillId="13" borderId="9" xfId="0" applyNumberFormat="1" applyFont="1" applyFill="1" applyBorder="1" applyAlignment="1">
      <alignment horizontal="right" vertical="center" wrapText="1"/>
    </xf>
    <xf numFmtId="4" fontId="33" fillId="13" borderId="9" xfId="0" applyNumberFormat="1" applyFont="1" applyFill="1" applyBorder="1" applyAlignment="1">
      <alignment horizontal="right" vertical="center" wrapText="1"/>
    </xf>
    <xf numFmtId="4" fontId="33" fillId="4" borderId="9" xfId="0" applyNumberFormat="1" applyFont="1" applyFill="1" applyBorder="1" applyAlignment="1">
      <alignment horizontal="right" vertical="center" wrapText="1"/>
    </xf>
    <xf numFmtId="3" fontId="38" fillId="24" borderId="9" xfId="0" applyNumberFormat="1" applyFont="1" applyFill="1" applyBorder="1" applyAlignment="1">
      <alignment horizontal="right" vertical="center"/>
    </xf>
    <xf numFmtId="166" fontId="34" fillId="13" borderId="16" xfId="0" applyNumberFormat="1" applyFont="1" applyFill="1" applyBorder="1" applyAlignment="1">
      <alignment vertical="center" wrapText="1"/>
    </xf>
    <xf numFmtId="166" fontId="34" fillId="13" borderId="9" xfId="0" applyNumberFormat="1" applyFont="1" applyFill="1" applyBorder="1" applyAlignment="1">
      <alignment vertical="center" wrapText="1"/>
    </xf>
    <xf numFmtId="166" fontId="34" fillId="4" borderId="16" xfId="0" applyNumberFormat="1" applyFont="1" applyFill="1" applyBorder="1" applyAlignment="1">
      <alignment vertical="center" wrapText="1"/>
    </xf>
    <xf numFmtId="166" fontId="34" fillId="4" borderId="9" xfId="0" applyNumberFormat="1" applyFont="1" applyFill="1" applyBorder="1" applyAlignment="1">
      <alignment vertical="center" wrapText="1"/>
    </xf>
    <xf numFmtId="166" fontId="32" fillId="0" borderId="9" xfId="0" applyNumberFormat="1" applyFont="1" applyBorder="1" applyAlignment="1">
      <alignment vertical="center" wrapText="1"/>
    </xf>
    <xf numFmtId="3" fontId="32" fillId="0" borderId="9" xfId="0" applyNumberFormat="1" applyFont="1" applyBorder="1" applyAlignment="1">
      <alignment vertical="center" wrapText="1"/>
    </xf>
    <xf numFmtId="166" fontId="34" fillId="0" borderId="9" xfId="0" applyNumberFormat="1" applyFont="1" applyBorder="1" applyAlignment="1">
      <alignment vertical="center" wrapText="1"/>
    </xf>
    <xf numFmtId="166" fontId="34" fillId="0" borderId="16" xfId="0" applyNumberFormat="1" applyFont="1" applyBorder="1" applyAlignment="1">
      <alignment vertical="center" wrapText="1"/>
    </xf>
    <xf numFmtId="166" fontId="34" fillId="12" borderId="16" xfId="0" applyNumberFormat="1" applyFont="1" applyFill="1" applyBorder="1" applyAlignment="1">
      <alignment vertical="center" wrapText="1"/>
    </xf>
    <xf numFmtId="166" fontId="34" fillId="12" borderId="9" xfId="0" applyNumberFormat="1" applyFont="1" applyFill="1" applyBorder="1" applyAlignment="1">
      <alignment vertical="center" wrapText="1"/>
    </xf>
    <xf numFmtId="170" fontId="32" fillId="0" borderId="9" xfId="0" applyNumberFormat="1" applyFont="1" applyBorder="1" applyAlignment="1">
      <alignment vertical="center"/>
    </xf>
    <xf numFmtId="0" fontId="34" fillId="0" borderId="9" xfId="0" applyFont="1" applyBorder="1" applyAlignment="1">
      <alignment vertical="center" wrapText="1"/>
    </xf>
    <xf numFmtId="3" fontId="34" fillId="13" borderId="14" xfId="0" applyNumberFormat="1" applyFont="1" applyFill="1" applyBorder="1" applyAlignment="1">
      <alignment vertical="center" wrapText="1"/>
    </xf>
    <xf numFmtId="10" fontId="34" fillId="13" borderId="32" xfId="0" applyNumberFormat="1" applyFont="1" applyFill="1" applyBorder="1" applyAlignment="1">
      <alignment vertical="center" wrapText="1"/>
    </xf>
    <xf numFmtId="9" fontId="32" fillId="13" borderId="9" xfId="0" applyNumberFormat="1" applyFont="1" applyFill="1" applyBorder="1" applyAlignment="1">
      <alignment vertical="center" wrapText="1"/>
    </xf>
    <xf numFmtId="9" fontId="34" fillId="13" borderId="9" xfId="0" applyNumberFormat="1" applyFont="1" applyFill="1" applyBorder="1" applyAlignment="1">
      <alignment vertical="center" wrapText="1"/>
    </xf>
    <xf numFmtId="3" fontId="34" fillId="4" borderId="14" xfId="0" applyNumberFormat="1" applyFont="1" applyFill="1" applyBorder="1" applyAlignment="1">
      <alignment vertical="center" wrapText="1"/>
    </xf>
    <xf numFmtId="10" fontId="34" fillId="4" borderId="32" xfId="0" applyNumberFormat="1" applyFont="1" applyFill="1" applyBorder="1" applyAlignment="1">
      <alignment vertical="center" wrapText="1"/>
    </xf>
    <xf numFmtId="9" fontId="34" fillId="4" borderId="9" xfId="0" applyNumberFormat="1" applyFont="1" applyFill="1" applyBorder="1" applyAlignment="1">
      <alignment vertical="center" wrapText="1"/>
    </xf>
    <xf numFmtId="3" fontId="37" fillId="0" borderId="9" xfId="0" applyNumberFormat="1" applyFont="1" applyBorder="1" applyAlignment="1">
      <alignment vertical="center"/>
    </xf>
    <xf numFmtId="10" fontId="32" fillId="0" borderId="33" xfId="0" applyNumberFormat="1" applyFont="1" applyBorder="1" applyAlignment="1">
      <alignment vertical="center" wrapText="1"/>
    </xf>
    <xf numFmtId="9" fontId="32" fillId="0" borderId="9" xfId="0" applyNumberFormat="1" applyFont="1" applyBorder="1" applyAlignment="1">
      <alignment vertical="center" wrapText="1"/>
    </xf>
    <xf numFmtId="10" fontId="32" fillId="0" borderId="16" xfId="0" applyNumberFormat="1" applyFont="1" applyBorder="1" applyAlignment="1">
      <alignment vertical="center" wrapText="1"/>
    </xf>
    <xf numFmtId="0" fontId="32" fillId="0" borderId="9" xfId="0" applyFont="1" applyBorder="1" applyAlignment="1">
      <alignment vertical="center" wrapText="1"/>
    </xf>
    <xf numFmtId="10" fontId="34" fillId="4" borderId="16" xfId="0" applyNumberFormat="1" applyFont="1" applyFill="1" applyBorder="1" applyAlignment="1">
      <alignment vertical="center" wrapText="1"/>
    </xf>
    <xf numFmtId="10" fontId="32" fillId="0" borderId="31" xfId="0" applyNumberFormat="1" applyFont="1" applyBorder="1" applyAlignment="1">
      <alignment vertical="center" wrapText="1"/>
    </xf>
    <xf numFmtId="10" fontId="32" fillId="0" borderId="32" xfId="0" applyNumberFormat="1" applyFont="1" applyBorder="1" applyAlignment="1">
      <alignment vertical="center" wrapText="1"/>
    </xf>
    <xf numFmtId="9" fontId="34" fillId="0" borderId="9" xfId="0" applyNumberFormat="1" applyFont="1" applyBorder="1" applyAlignment="1">
      <alignment vertical="center" wrapText="1"/>
    </xf>
    <xf numFmtId="3" fontId="34" fillId="12" borderId="14" xfId="0" applyNumberFormat="1" applyFont="1" applyFill="1" applyBorder="1" applyAlignment="1">
      <alignment vertical="center" wrapText="1"/>
    </xf>
    <xf numFmtId="10" fontId="34" fillId="12" borderId="32" xfId="0" applyNumberFormat="1" applyFont="1" applyFill="1" applyBorder="1" applyAlignment="1">
      <alignment vertical="center" wrapText="1"/>
    </xf>
    <xf numFmtId="0" fontId="34" fillId="12" borderId="9" xfId="0" applyFont="1" applyFill="1" applyBorder="1" applyAlignment="1">
      <alignment vertical="center" wrapText="1"/>
    </xf>
    <xf numFmtId="9" fontId="34" fillId="12" borderId="9" xfId="0" applyNumberFormat="1" applyFont="1" applyFill="1" applyBorder="1" applyAlignment="1">
      <alignment vertical="center" wrapText="1"/>
    </xf>
    <xf numFmtId="10" fontId="34" fillId="12" borderId="16" xfId="0" applyNumberFormat="1" applyFont="1" applyFill="1" applyBorder="1" applyAlignment="1">
      <alignment vertical="center" wrapText="1"/>
    </xf>
    <xf numFmtId="4" fontId="34" fillId="13" borderId="14" xfId="0" applyNumberFormat="1" applyFont="1" applyFill="1" applyBorder="1" applyAlignment="1">
      <alignment vertical="center" wrapText="1"/>
    </xf>
    <xf numFmtId="10" fontId="34" fillId="13" borderId="16" xfId="0" applyNumberFormat="1" applyFont="1" applyFill="1" applyBorder="1" applyAlignment="1">
      <alignment vertical="center" wrapText="1"/>
    </xf>
    <xf numFmtId="4" fontId="34" fillId="4" borderId="14" xfId="0" applyNumberFormat="1" applyFont="1" applyFill="1" applyBorder="1" applyAlignment="1">
      <alignment vertical="center" wrapText="1"/>
    </xf>
    <xf numFmtId="164" fontId="32" fillId="0" borderId="32" xfId="0" applyNumberFormat="1" applyFont="1" applyBorder="1" applyAlignment="1">
      <alignment vertical="center"/>
    </xf>
    <xf numFmtId="0" fontId="32" fillId="0" borderId="32" xfId="0" applyFont="1" applyBorder="1" applyAlignment="1">
      <alignment vertical="center"/>
    </xf>
    <xf numFmtId="0" fontId="35" fillId="0" borderId="0" xfId="0" applyFont="1" applyAlignment="1">
      <alignment horizontal="left" wrapText="1"/>
    </xf>
    <xf numFmtId="0" fontId="35" fillId="11" borderId="13" xfId="0" applyFont="1" applyFill="1" applyBorder="1" applyAlignment="1">
      <alignment horizontal="left" vertical="center" wrapText="1"/>
    </xf>
    <xf numFmtId="0" fontId="35" fillId="11" borderId="18" xfId="0" applyFont="1" applyFill="1" applyBorder="1" applyAlignment="1">
      <alignment horizontal="left" vertical="center" wrapText="1"/>
    </xf>
    <xf numFmtId="3" fontId="35" fillId="12" borderId="9" xfId="0" applyNumberFormat="1" applyFont="1" applyFill="1" applyBorder="1" applyAlignment="1">
      <alignment horizontal="left" vertical="center" wrapText="1"/>
    </xf>
    <xf numFmtId="3" fontId="28" fillId="13" borderId="9" xfId="0" applyNumberFormat="1" applyFont="1" applyFill="1" applyBorder="1" applyAlignment="1">
      <alignment horizontal="left" vertical="center" wrapText="1"/>
    </xf>
    <xf numFmtId="3" fontId="28" fillId="4" borderId="9" xfId="0" applyNumberFormat="1" applyFont="1" applyFill="1" applyBorder="1" applyAlignment="1">
      <alignment horizontal="left" vertical="center" wrapText="1"/>
    </xf>
    <xf numFmtId="3" fontId="35" fillId="0" borderId="9" xfId="0" applyNumberFormat="1" applyFont="1" applyBorder="1" applyAlignment="1">
      <alignment horizontal="left" vertical="center" wrapText="1"/>
    </xf>
    <xf numFmtId="0" fontId="35" fillId="0" borderId="14" xfId="0" applyFont="1" applyBorder="1" applyAlignment="1">
      <alignment horizontal="left" vertical="center" wrapText="1"/>
    </xf>
    <xf numFmtId="0" fontId="35" fillId="0" borderId="0" xfId="0" applyFont="1" applyAlignment="1">
      <alignment horizontal="left" vertical="center" wrapText="1"/>
    </xf>
    <xf numFmtId="0" fontId="28" fillId="0" borderId="0" xfId="0" applyFont="1" applyAlignment="1">
      <alignment horizontal="left" wrapText="1"/>
    </xf>
    <xf numFmtId="3" fontId="28" fillId="12" borderId="9" xfId="0" applyNumberFormat="1" applyFont="1" applyFill="1" applyBorder="1" applyAlignment="1">
      <alignment horizontal="left" vertical="center" wrapText="1"/>
    </xf>
    <xf numFmtId="3" fontId="38" fillId="27" borderId="9" xfId="0" applyNumberFormat="1" applyFont="1" applyFill="1" applyBorder="1" applyAlignment="1">
      <alignment horizontal="right" vertical="center"/>
    </xf>
    <xf numFmtId="0" fontId="2" fillId="3" borderId="1" xfId="0" applyFont="1" applyFill="1" applyBorder="1" applyAlignment="1">
      <alignment horizontal="center" vertical="center" wrapText="1"/>
    </xf>
    <xf numFmtId="0" fontId="21" fillId="2" borderId="22" xfId="0" applyFont="1" applyFill="1" applyBorder="1" applyAlignment="1">
      <alignment horizontal="center" vertical="center"/>
    </xf>
    <xf numFmtId="0" fontId="21" fillId="4" borderId="23"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16" xfId="0" applyFont="1" applyFill="1" applyBorder="1" applyAlignment="1">
      <alignment horizontal="center" vertical="center" wrapText="1"/>
    </xf>
    <xf numFmtId="165" fontId="8" fillId="8" borderId="14" xfId="0" applyNumberFormat="1" applyFont="1" applyFill="1" applyBorder="1" applyAlignment="1">
      <alignment horizontal="center" vertical="center" wrapText="1"/>
    </xf>
    <xf numFmtId="165" fontId="8" fillId="8" borderId="11" xfId="0" applyNumberFormat="1" applyFont="1" applyFill="1" applyBorder="1" applyAlignment="1">
      <alignment horizontal="center" vertical="center" wrapText="1"/>
    </xf>
    <xf numFmtId="0" fontId="4" fillId="0" borderId="0" xfId="0" applyFont="1" applyAlignment="1">
      <alignment horizontal="center"/>
    </xf>
    <xf numFmtId="0" fontId="5" fillId="28" borderId="0" xfId="0" applyFont="1" applyFill="1" applyAlignment="1">
      <alignment vertical="center"/>
    </xf>
    <xf numFmtId="0" fontId="3" fillId="0" borderId="2" xfId="0" applyFont="1" applyBorder="1" applyAlignment="1"/>
    <xf numFmtId="0" fontId="3" fillId="0" borderId="3" xfId="0" applyFont="1" applyBorder="1" applyAlignment="1"/>
    <xf numFmtId="0" fontId="3" fillId="0" borderId="22" xfId="0" applyFont="1" applyBorder="1" applyAlignment="1"/>
    <xf numFmtId="0" fontId="3" fillId="0" borderId="24" xfId="0" applyFont="1" applyBorder="1" applyAlignment="1"/>
    <xf numFmtId="0" fontId="3" fillId="0" borderId="11" xfId="0" applyFont="1" applyBorder="1" applyAlignment="1"/>
    <xf numFmtId="0" fontId="3" fillId="0" borderId="16" xfId="0" applyFont="1" applyBorder="1" applyAlignment="1"/>
    <xf numFmtId="0" fontId="0" fillId="0" borderId="0" xfId="0" applyAlignment="1"/>
  </cellXfs>
  <cellStyles count="1">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058400" cy="1657350"/>
    <xdr:grpSp>
      <xdr:nvGrpSpPr>
        <xdr:cNvPr id="2" name="Shape 2">
          <a:extLst>
            <a:ext uri="{FF2B5EF4-FFF2-40B4-BE49-F238E27FC236}">
              <a16:creationId xmlns:a16="http://schemas.microsoft.com/office/drawing/2014/main" id="{00000000-0008-0000-0000-000002000000}"/>
            </a:ext>
          </a:extLst>
        </xdr:cNvPr>
        <xdr:cNvGrpSpPr/>
      </xdr:nvGrpSpPr>
      <xdr:grpSpPr>
        <a:xfrm>
          <a:off x="0" y="0"/>
          <a:ext cx="10058400" cy="1657350"/>
          <a:chOff x="316800" y="2951325"/>
          <a:chExt cx="10058400" cy="1657350"/>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316800" y="2951325"/>
            <a:ext cx="10058400" cy="1657350"/>
            <a:chOff x="316800" y="2951325"/>
            <a:chExt cx="10058400" cy="1657350"/>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316800" y="2951325"/>
              <a:ext cx="10058400" cy="1657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a:extLst>
                <a:ext uri="{FF2B5EF4-FFF2-40B4-BE49-F238E27FC236}">
                  <a16:creationId xmlns:a16="http://schemas.microsoft.com/office/drawing/2014/main" id="{00000000-0008-0000-0000-000005000000}"/>
                </a:ext>
              </a:extLst>
            </xdr:cNvPr>
            <xdr:cNvGrpSpPr/>
          </xdr:nvGrpSpPr>
          <xdr:grpSpPr>
            <a:xfrm>
              <a:off x="316800" y="2951325"/>
              <a:ext cx="10058400" cy="1657350"/>
              <a:chOff x="316800" y="2951325"/>
              <a:chExt cx="10058400" cy="1657350"/>
            </a:xfrm>
          </xdr:grpSpPr>
          <xdr:sp macro="" textlink="">
            <xdr:nvSpPr>
              <xdr:cNvPr id="6" name="Shape 6">
                <a:extLst>
                  <a:ext uri="{FF2B5EF4-FFF2-40B4-BE49-F238E27FC236}">
                    <a16:creationId xmlns:a16="http://schemas.microsoft.com/office/drawing/2014/main" id="{00000000-0008-0000-0000-000006000000}"/>
                  </a:ext>
                </a:extLst>
              </xdr:cNvPr>
              <xdr:cNvSpPr/>
            </xdr:nvSpPr>
            <xdr:spPr>
              <a:xfrm>
                <a:off x="316800" y="2951325"/>
                <a:ext cx="10058400" cy="1657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7" name="Shape 7">
                <a:extLst>
                  <a:ext uri="{FF2B5EF4-FFF2-40B4-BE49-F238E27FC236}">
                    <a16:creationId xmlns:a16="http://schemas.microsoft.com/office/drawing/2014/main" id="{00000000-0008-0000-0000-000007000000}"/>
                  </a:ext>
                </a:extLst>
              </xdr:cNvPr>
              <xdr:cNvGrpSpPr/>
            </xdr:nvGrpSpPr>
            <xdr:grpSpPr>
              <a:xfrm>
                <a:off x="316800" y="2951325"/>
                <a:ext cx="10058400" cy="1657350"/>
                <a:chOff x="57151" y="47625"/>
                <a:chExt cx="6181724" cy="1581150"/>
              </a:xfrm>
            </xdr:grpSpPr>
            <xdr:sp macro="" textlink="">
              <xdr:nvSpPr>
                <xdr:cNvPr id="8" name="Shape 8">
                  <a:extLst>
                    <a:ext uri="{FF2B5EF4-FFF2-40B4-BE49-F238E27FC236}">
                      <a16:creationId xmlns:a16="http://schemas.microsoft.com/office/drawing/2014/main" id="{00000000-0008-0000-0000-000008000000}"/>
                    </a:ext>
                  </a:extLst>
                </xdr:cNvPr>
                <xdr:cNvSpPr/>
              </xdr:nvSpPr>
              <xdr:spPr>
                <a:xfrm>
                  <a:off x="57151" y="47625"/>
                  <a:ext cx="6181700" cy="1581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pic>
              <xdr:nvPicPr>
                <xdr:cNvPr id="9" name="Shape 9" descr="ESCUDO-transp-lema-blanco.png">
                  <a:extLst>
                    <a:ext uri="{FF2B5EF4-FFF2-40B4-BE49-F238E27FC236}">
                      <a16:creationId xmlns:a16="http://schemas.microsoft.com/office/drawing/2014/main" id="{00000000-0008-0000-0000-000009000000}"/>
                    </a:ext>
                  </a:extLst>
                </xdr:cNvPr>
                <xdr:cNvPicPr preferRelativeResize="0"/>
              </xdr:nvPicPr>
              <xdr:blipFill rotWithShape="1">
                <a:blip xmlns:r="http://schemas.openxmlformats.org/officeDocument/2006/relationships" r:embed="rId1">
                  <a:alphaModFix/>
                </a:blip>
                <a:srcRect/>
                <a:stretch/>
              </xdr:blipFill>
              <xdr:spPr>
                <a:xfrm>
                  <a:off x="57151" y="47625"/>
                  <a:ext cx="850209" cy="1581150"/>
                </a:xfrm>
                <a:prstGeom prst="rect">
                  <a:avLst/>
                </a:prstGeom>
                <a:noFill/>
                <a:ln>
                  <a:noFill/>
                </a:ln>
              </xdr:spPr>
            </xdr:pic>
            <xdr:sp macro="" textlink="">
              <xdr:nvSpPr>
                <xdr:cNvPr id="10" name="Shape 10">
                  <a:extLst>
                    <a:ext uri="{FF2B5EF4-FFF2-40B4-BE49-F238E27FC236}">
                      <a16:creationId xmlns:a16="http://schemas.microsoft.com/office/drawing/2014/main" id="{00000000-0008-0000-0000-00000A000000}"/>
                    </a:ext>
                  </a:extLst>
                </xdr:cNvPr>
                <xdr:cNvSpPr txBox="1"/>
              </xdr:nvSpPr>
              <xdr:spPr>
                <a:xfrm>
                  <a:off x="1426640" y="495300"/>
                  <a:ext cx="4812235" cy="7715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400"/>
                    <a:buFont typeface="Arial Narrow"/>
                    <a:buNone/>
                  </a:pPr>
                  <a:r>
                    <a:rPr lang="en-US" sz="1400" b="1">
                      <a:solidFill>
                        <a:schemeClr val="lt1"/>
                      </a:solidFill>
                      <a:latin typeface="Arial Narrow"/>
                      <a:ea typeface="Arial Narrow"/>
                      <a:cs typeface="Arial Narrow"/>
                      <a:sym typeface="Arial Narrow"/>
                    </a:rPr>
                    <a:t>Ministerio de Ambiente y Desarrollo Sostenible</a:t>
                  </a:r>
                  <a:endParaRPr sz="1400"/>
                </a:p>
                <a:p>
                  <a:pPr marL="0" lvl="0" indent="0" algn="l" rtl="0">
                    <a:spcBef>
                      <a:spcPts val="0"/>
                    </a:spcBef>
                    <a:spcAft>
                      <a:spcPts val="0"/>
                    </a:spcAft>
                    <a:buClr>
                      <a:schemeClr val="lt1"/>
                    </a:buClr>
                    <a:buSzPts val="1100"/>
                    <a:buFont typeface="Arial Narrow"/>
                    <a:buNone/>
                  </a:pPr>
                  <a:r>
                    <a:rPr lang="en-US" sz="1100">
                      <a:solidFill>
                        <a:schemeClr val="lt1"/>
                      </a:solidFill>
                      <a:latin typeface="Arial Narrow"/>
                      <a:ea typeface="Arial Narrow"/>
                      <a:cs typeface="Arial Narrow"/>
                      <a:sym typeface="Arial Narrow"/>
                    </a:rPr>
                    <a:t>Dirección de Ordenamiento Ambiental Territorial y del SINA</a:t>
                  </a:r>
                  <a:endParaRPr sz="1400"/>
                </a:p>
                <a:p>
                  <a:pPr marL="0" lvl="0" indent="0" algn="l" rtl="0">
                    <a:spcBef>
                      <a:spcPts val="0"/>
                    </a:spcBef>
                    <a:spcAft>
                      <a:spcPts val="0"/>
                    </a:spcAft>
                    <a:buClr>
                      <a:schemeClr val="lt1"/>
                    </a:buClr>
                    <a:buSzPts val="1000"/>
                    <a:buFont typeface="Arial Narrow"/>
                    <a:buNone/>
                  </a:pPr>
                  <a:r>
                    <a:rPr lang="en-US" sz="1000">
                      <a:solidFill>
                        <a:schemeClr val="lt1"/>
                      </a:solidFill>
                      <a:latin typeface="Arial Narrow"/>
                      <a:ea typeface="Arial Narrow"/>
                      <a:cs typeface="Arial Narrow"/>
                      <a:sym typeface="Arial Narrow"/>
                    </a:rPr>
                    <a:t>República de Colombia</a:t>
                  </a:r>
                  <a:endParaRPr sz="1000">
                    <a:solidFill>
                      <a:schemeClr val="lt1"/>
                    </a:solidFill>
                    <a:latin typeface="Arial Narrow"/>
                    <a:ea typeface="Arial Narrow"/>
                    <a:cs typeface="Arial Narrow"/>
                    <a:sym typeface="Arial Narrow"/>
                  </a:endParaRPr>
                </a:p>
              </xdr:txBody>
            </xdr:sp>
          </xdr:grpSp>
        </xdr:grpSp>
      </xdr:grpSp>
    </xdr:grp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1247775</xdr:colOff>
      <xdr:row>0</xdr:row>
      <xdr:rowOff>409575</xdr:rowOff>
    </xdr:from>
    <xdr:ext cx="4829175" cy="781050"/>
    <xdr:sp macro="" textlink="">
      <xdr:nvSpPr>
        <xdr:cNvPr id="17" name="Shape 17">
          <a:extLst>
            <a:ext uri="{FF2B5EF4-FFF2-40B4-BE49-F238E27FC236}">
              <a16:creationId xmlns:a16="http://schemas.microsoft.com/office/drawing/2014/main" id="{00000000-0008-0000-0300-000011000000}"/>
            </a:ext>
          </a:extLst>
        </xdr:cNvPr>
        <xdr:cNvSpPr txBox="1"/>
      </xdr:nvSpPr>
      <xdr:spPr>
        <a:xfrm>
          <a:off x="2936175" y="3394238"/>
          <a:ext cx="4819650" cy="7715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400"/>
            <a:buFont typeface="Arial Narrow"/>
            <a:buNone/>
          </a:pPr>
          <a:r>
            <a:rPr lang="en-US" sz="1400" b="1">
              <a:solidFill>
                <a:schemeClr val="lt1"/>
              </a:solidFill>
              <a:latin typeface="Arial Narrow"/>
              <a:ea typeface="Arial Narrow"/>
              <a:cs typeface="Arial Narrow"/>
              <a:sym typeface="Arial Narrow"/>
            </a:rPr>
            <a:t>Ministerio de Ambiente y Desarrollo Sostenible</a:t>
          </a:r>
          <a:endParaRPr sz="1400"/>
        </a:p>
        <a:p>
          <a:pPr marL="0" lvl="0" indent="0" algn="l" rtl="0">
            <a:spcBef>
              <a:spcPts val="0"/>
            </a:spcBef>
            <a:spcAft>
              <a:spcPts val="0"/>
            </a:spcAft>
            <a:buClr>
              <a:schemeClr val="lt1"/>
            </a:buClr>
            <a:buSzPts val="1100"/>
            <a:buFont typeface="Arial Narrow"/>
            <a:buNone/>
          </a:pPr>
          <a:r>
            <a:rPr lang="en-US" sz="1100">
              <a:solidFill>
                <a:schemeClr val="lt1"/>
              </a:solidFill>
              <a:latin typeface="Arial Narrow"/>
              <a:ea typeface="Arial Narrow"/>
              <a:cs typeface="Arial Narrow"/>
              <a:sym typeface="Arial Narrow"/>
            </a:rPr>
            <a:t>Dirección de Ordenamiento Ambiental Territorial y del SINA</a:t>
          </a:r>
          <a:endParaRPr sz="1400"/>
        </a:p>
        <a:p>
          <a:pPr marL="0" lvl="0" indent="0" algn="l" rtl="0">
            <a:spcBef>
              <a:spcPts val="0"/>
            </a:spcBef>
            <a:spcAft>
              <a:spcPts val="0"/>
            </a:spcAft>
            <a:buClr>
              <a:schemeClr val="lt1"/>
            </a:buClr>
            <a:buSzPts val="1000"/>
            <a:buFont typeface="Arial Narrow"/>
            <a:buNone/>
          </a:pPr>
          <a:r>
            <a:rPr lang="en-US" sz="1000">
              <a:solidFill>
                <a:schemeClr val="lt1"/>
              </a:solidFill>
              <a:latin typeface="Arial Narrow"/>
              <a:ea typeface="Arial Narrow"/>
              <a:cs typeface="Arial Narrow"/>
              <a:sym typeface="Arial Narrow"/>
            </a:rPr>
            <a:t>República de Colombia</a:t>
          </a:r>
          <a:endParaRPr sz="1000">
            <a:solidFill>
              <a:schemeClr val="lt1"/>
            </a:solidFill>
            <a:latin typeface="Arial Narrow"/>
            <a:ea typeface="Arial Narrow"/>
            <a:cs typeface="Arial Narrow"/>
            <a:sym typeface="Arial Narrow"/>
          </a:endParaRPr>
        </a:p>
      </xdr:txBody>
    </xdr:sp>
    <xdr:clientData fLocksWithSheet="0"/>
  </xdr:oneCellAnchor>
  <xdr:oneCellAnchor>
    <xdr:from>
      <xdr:col>0</xdr:col>
      <xdr:colOff>0</xdr:colOff>
      <xdr:row>0</xdr:row>
      <xdr:rowOff>0</xdr:rowOff>
    </xdr:from>
    <xdr:ext cx="1266825" cy="16573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66675</xdr:colOff>
      <xdr:row>0</xdr:row>
      <xdr:rowOff>9525</xdr:rowOff>
    </xdr:from>
    <xdr:ext cx="31603950" cy="1047750"/>
    <xdr:grpSp>
      <xdr:nvGrpSpPr>
        <xdr:cNvPr id="2" name="Shape 2">
          <a:extLst>
            <a:ext uri="{FF2B5EF4-FFF2-40B4-BE49-F238E27FC236}">
              <a16:creationId xmlns:a16="http://schemas.microsoft.com/office/drawing/2014/main" id="{00000000-0008-0000-0200-000002000000}"/>
            </a:ext>
          </a:extLst>
        </xdr:cNvPr>
        <xdr:cNvGrpSpPr/>
      </xdr:nvGrpSpPr>
      <xdr:grpSpPr>
        <a:xfrm>
          <a:off x="66675" y="9525"/>
          <a:ext cx="31603950" cy="1047750"/>
          <a:chOff x="0" y="3256125"/>
          <a:chExt cx="10692000" cy="1047750"/>
        </a:xfrm>
      </xdr:grpSpPr>
      <xdr:grpSp>
        <xdr:nvGrpSpPr>
          <xdr:cNvPr id="11" name="Shape 11">
            <a:extLst>
              <a:ext uri="{FF2B5EF4-FFF2-40B4-BE49-F238E27FC236}">
                <a16:creationId xmlns:a16="http://schemas.microsoft.com/office/drawing/2014/main" id="{00000000-0008-0000-0200-00000B000000}"/>
              </a:ext>
            </a:extLst>
          </xdr:cNvPr>
          <xdr:cNvGrpSpPr/>
        </xdr:nvGrpSpPr>
        <xdr:grpSpPr>
          <a:xfrm>
            <a:off x="0" y="3256125"/>
            <a:ext cx="10692000" cy="1047750"/>
            <a:chOff x="0" y="3256125"/>
            <a:chExt cx="10692001" cy="1047750"/>
          </a:xfrm>
        </xdr:grpSpPr>
        <xdr:sp macro="" textlink="">
          <xdr:nvSpPr>
            <xdr:cNvPr id="4" name="Shape 4">
              <a:extLst>
                <a:ext uri="{FF2B5EF4-FFF2-40B4-BE49-F238E27FC236}">
                  <a16:creationId xmlns:a16="http://schemas.microsoft.com/office/drawing/2014/main" id="{00000000-0008-0000-0200-000004000000}"/>
                </a:ext>
              </a:extLst>
            </xdr:cNvPr>
            <xdr:cNvSpPr/>
          </xdr:nvSpPr>
          <xdr:spPr>
            <a:xfrm>
              <a:off x="0" y="3256125"/>
              <a:ext cx="10692000" cy="1047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2" name="Shape 12">
              <a:extLst>
                <a:ext uri="{FF2B5EF4-FFF2-40B4-BE49-F238E27FC236}">
                  <a16:creationId xmlns:a16="http://schemas.microsoft.com/office/drawing/2014/main" id="{00000000-0008-0000-0200-00000C000000}"/>
                </a:ext>
              </a:extLst>
            </xdr:cNvPr>
            <xdr:cNvGrpSpPr/>
          </xdr:nvGrpSpPr>
          <xdr:grpSpPr>
            <a:xfrm>
              <a:off x="0" y="3256125"/>
              <a:ext cx="10692001" cy="1047750"/>
              <a:chOff x="0" y="3256125"/>
              <a:chExt cx="10691970" cy="1047750"/>
            </a:xfrm>
          </xdr:grpSpPr>
          <xdr:sp macro="" textlink="">
            <xdr:nvSpPr>
              <xdr:cNvPr id="13" name="Shape 13">
                <a:extLst>
                  <a:ext uri="{FF2B5EF4-FFF2-40B4-BE49-F238E27FC236}">
                    <a16:creationId xmlns:a16="http://schemas.microsoft.com/office/drawing/2014/main" id="{00000000-0008-0000-0200-00000D000000}"/>
                  </a:ext>
                </a:extLst>
              </xdr:cNvPr>
              <xdr:cNvSpPr/>
            </xdr:nvSpPr>
            <xdr:spPr>
              <a:xfrm>
                <a:off x="0" y="3256125"/>
                <a:ext cx="10691950" cy="1047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4" name="Shape 14">
                <a:extLst>
                  <a:ext uri="{FF2B5EF4-FFF2-40B4-BE49-F238E27FC236}">
                    <a16:creationId xmlns:a16="http://schemas.microsoft.com/office/drawing/2014/main" id="{00000000-0008-0000-0200-00000E000000}"/>
                  </a:ext>
                </a:extLst>
              </xdr:cNvPr>
              <xdr:cNvGrpSpPr/>
            </xdr:nvGrpSpPr>
            <xdr:grpSpPr>
              <a:xfrm>
                <a:off x="0" y="3256125"/>
                <a:ext cx="10691970" cy="1047750"/>
                <a:chOff x="57150" y="170793"/>
                <a:chExt cx="8104875" cy="1863624"/>
              </a:xfrm>
            </xdr:grpSpPr>
            <xdr:sp macro="" textlink="">
              <xdr:nvSpPr>
                <xdr:cNvPr id="15" name="Shape 15">
                  <a:extLst>
                    <a:ext uri="{FF2B5EF4-FFF2-40B4-BE49-F238E27FC236}">
                      <a16:creationId xmlns:a16="http://schemas.microsoft.com/office/drawing/2014/main" id="{00000000-0008-0000-0200-00000F000000}"/>
                    </a:ext>
                  </a:extLst>
                </xdr:cNvPr>
                <xdr:cNvSpPr/>
              </xdr:nvSpPr>
              <xdr:spPr>
                <a:xfrm>
                  <a:off x="57150" y="170793"/>
                  <a:ext cx="8104875" cy="1863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pic>
              <xdr:nvPicPr>
                <xdr:cNvPr id="16" name="Shape 16" descr="ESCUDO-transp-lema-blanco.png">
                  <a:extLst>
                    <a:ext uri="{FF2B5EF4-FFF2-40B4-BE49-F238E27FC236}">
                      <a16:creationId xmlns:a16="http://schemas.microsoft.com/office/drawing/2014/main" id="{00000000-0008-0000-0200-000010000000}"/>
                    </a:ext>
                  </a:extLst>
                </xdr:cNvPr>
                <xdr:cNvPicPr preferRelativeResize="0"/>
              </xdr:nvPicPr>
              <xdr:blipFill rotWithShape="1">
                <a:blip xmlns:r="http://schemas.openxmlformats.org/officeDocument/2006/relationships" r:embed="rId1">
                  <a:alphaModFix/>
                </a:blip>
                <a:srcRect/>
                <a:stretch/>
              </xdr:blipFill>
              <xdr:spPr>
                <a:xfrm>
                  <a:off x="57150" y="170793"/>
                  <a:ext cx="239804" cy="1863624"/>
                </a:xfrm>
                <a:prstGeom prst="rect">
                  <a:avLst/>
                </a:prstGeom>
                <a:noFill/>
                <a:ln>
                  <a:noFill/>
                </a:ln>
              </xdr:spPr>
            </xdr:pic>
          </xdr:grpSp>
        </xdr:grpSp>
      </xdr:grpSp>
    </xdr:grpSp>
    <xdr:clientData fLocksWithSheet="0"/>
  </xdr:oneCellAnchor>
  <xdr:oneCellAnchor>
    <xdr:from>
      <xdr:col>20</xdr:col>
      <xdr:colOff>19050</xdr:colOff>
      <xdr:row>56</xdr:row>
      <xdr:rowOff>0</xdr:rowOff>
    </xdr:from>
    <xdr:ext cx="1362075" cy="0"/>
    <xdr:grpSp>
      <xdr:nvGrpSpPr>
        <xdr:cNvPr id="23" name="Shape 2">
          <a:extLst>
            <a:ext uri="{FF2B5EF4-FFF2-40B4-BE49-F238E27FC236}">
              <a16:creationId xmlns:a16="http://schemas.microsoft.com/office/drawing/2014/main" id="{00000000-0008-0000-0000-00000C000000}"/>
            </a:ext>
          </a:extLst>
        </xdr:cNvPr>
        <xdr:cNvGrpSpPr/>
      </xdr:nvGrpSpPr>
      <xdr:grpSpPr>
        <a:xfrm>
          <a:off x="31756350" y="23345775"/>
          <a:ext cx="1362075" cy="0"/>
          <a:chOff x="4664963" y="3780000"/>
          <a:chExt cx="1362073" cy="0"/>
        </a:xfrm>
      </xdr:grpSpPr>
      <xdr:grpSp>
        <xdr:nvGrpSpPr>
          <xdr:cNvPr id="24" name="Shape 12">
            <a:extLst>
              <a:ext uri="{FF2B5EF4-FFF2-40B4-BE49-F238E27FC236}">
                <a16:creationId xmlns:a16="http://schemas.microsoft.com/office/drawing/2014/main" id="{00000000-0008-0000-0000-00000D000000}"/>
              </a:ext>
            </a:extLst>
          </xdr:cNvPr>
          <xdr:cNvGrpSpPr/>
        </xdr:nvGrpSpPr>
        <xdr:grpSpPr>
          <a:xfrm>
            <a:off x="4664963" y="3780000"/>
            <a:ext cx="1362073" cy="0"/>
            <a:chOff x="0" y="0"/>
            <a:chExt cx="5995025" cy="2114550"/>
          </a:xfrm>
        </xdr:grpSpPr>
        <xdr:sp macro="" textlink="">
          <xdr:nvSpPr>
            <xdr:cNvPr id="25" name="Shape 4">
              <a:extLst>
                <a:ext uri="{FF2B5EF4-FFF2-40B4-BE49-F238E27FC236}">
                  <a16:creationId xmlns:a16="http://schemas.microsoft.com/office/drawing/2014/main" id="{00000000-0008-0000-0000-00000E000000}"/>
                </a:ext>
              </a:extLst>
            </xdr:cNvPr>
            <xdr:cNvSpPr/>
          </xdr:nvSpPr>
          <xdr:spPr>
            <a:xfrm>
              <a:off x="0" y="0"/>
              <a:ext cx="5995025" cy="21145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6" name="Shape 13">
              <a:extLst>
                <a:ext uri="{FF2B5EF4-FFF2-40B4-BE49-F238E27FC236}">
                  <a16:creationId xmlns:a16="http://schemas.microsoft.com/office/drawing/2014/main" id="{00000000-0008-0000-0000-00000F000000}"/>
                </a:ext>
              </a:extLst>
            </xdr:cNvPr>
            <xdr:cNvPicPr preferRelativeResize="0"/>
          </xdr:nvPicPr>
          <xdr:blipFill rotWithShape="1">
            <a:blip xmlns:r="http://schemas.openxmlformats.org/officeDocument/2006/relationships" r:embed="rId2">
              <a:alphaModFix/>
            </a:blip>
            <a:srcRect/>
            <a:stretch/>
          </xdr:blipFill>
          <xdr:spPr>
            <a:xfrm>
              <a:off x="0" y="254000"/>
              <a:ext cx="3592195" cy="1587500"/>
            </a:xfrm>
            <a:prstGeom prst="rect">
              <a:avLst/>
            </a:prstGeom>
            <a:noFill/>
            <a:ln>
              <a:noFill/>
            </a:ln>
          </xdr:spPr>
        </xdr:pic>
      </xdr:grpSp>
    </xdr:grp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RPLA04/Archivos%20Planeacion%20(OK)/2020/Informe%20de%20Gestion%20con%20corte%2031-Diciembre-2020/6.%20Formatos%20SINA%20-%20PAI%202020-2023%20seguimiento%20PAC%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chivos/Documentos/MADS/FORMATOS/INFORMES%20DE%20GESTI&#211;N%202021/Formatos%20SINA%20-%20PAI_V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nexo 1 Matriz Inf Gestión"/>
      <sheetName val="Hoja1"/>
      <sheetName val="Anexo 2 Protocolo Inf Gestión"/>
      <sheetName val="PROTOCOLO INGRESOS"/>
      <sheetName val="Informe Ingresos"/>
      <sheetName val="PROTOCOLO GASTOS"/>
      <sheetName val="informe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nexo 1 Matriz Inf Gestión 2022"/>
      <sheetName val="Hoja1"/>
      <sheetName val="Anexo 2 Protocolo Inf Gestión"/>
      <sheetName val="PROTOCOLO INGRESOS"/>
      <sheetName val="PROTOCOLO GASTOS"/>
      <sheetName val="Anexo 5.1 Ingresos"/>
      <sheetName val="Anexo 5.2. Gastos"/>
      <sheetName val="Anexo 5.2-A. Gastos"/>
      <sheetName val="Datos Generale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 val="Hoja2"/>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oserbenjumea@corpocaldas.gov.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0" workbookViewId="0">
      <selection activeCell="C6" sqref="C6"/>
    </sheetView>
  </sheetViews>
  <sheetFormatPr defaultColWidth="14.42578125" defaultRowHeight="15" customHeight="1"/>
  <cols>
    <col min="1" max="1" width="5.85546875" customWidth="1"/>
    <col min="2" max="2" width="44.28515625" customWidth="1"/>
    <col min="3" max="3" width="68.42578125" customWidth="1"/>
    <col min="4" max="6" width="10.7109375" customWidth="1"/>
    <col min="7" max="7" width="10.7109375" hidden="1" customWidth="1"/>
    <col min="8" max="8" width="15.42578125" hidden="1" customWidth="1"/>
    <col min="9" max="9" width="11.42578125" hidden="1" customWidth="1"/>
    <col min="10" max="26" width="10.7109375" customWidth="1"/>
  </cols>
  <sheetData>
    <row r="1" spans="1:26" ht="130.5" customHeight="1">
      <c r="A1" s="204"/>
      <c r="B1" s="205"/>
      <c r="C1" s="206"/>
      <c r="S1" s="1"/>
      <c r="T1" s="1"/>
      <c r="U1" s="1"/>
      <c r="V1" s="1"/>
      <c r="W1" s="1"/>
      <c r="X1" s="1"/>
      <c r="Y1" s="1"/>
      <c r="Z1" s="1"/>
    </row>
    <row r="2" spans="1:26" ht="39.75" customHeight="1">
      <c r="A2" s="357" t="s">
        <v>0</v>
      </c>
      <c r="B2" s="377"/>
      <c r="C2" s="378"/>
      <c r="S2" s="2"/>
      <c r="T2" s="2"/>
      <c r="U2" s="2"/>
      <c r="V2" s="2"/>
      <c r="W2" s="2"/>
      <c r="X2" s="2"/>
      <c r="Y2" s="2"/>
      <c r="Z2" s="2"/>
    </row>
    <row r="5" spans="1:26" ht="23.25" customHeight="1">
      <c r="A5" s="3"/>
      <c r="B5" s="4" t="s">
        <v>1</v>
      </c>
      <c r="C5" s="5" t="s">
        <v>2</v>
      </c>
      <c r="D5" s="3"/>
      <c r="E5" s="3"/>
      <c r="F5" s="3"/>
      <c r="G5" s="3"/>
      <c r="H5" s="3" t="s">
        <v>3</v>
      </c>
      <c r="I5" s="3"/>
      <c r="J5" s="3"/>
      <c r="K5" s="3"/>
      <c r="L5" s="3"/>
      <c r="M5" s="3"/>
      <c r="N5" s="3"/>
      <c r="O5" s="3"/>
      <c r="P5" s="3"/>
      <c r="Q5" s="3"/>
      <c r="R5" s="3"/>
      <c r="S5" s="3"/>
      <c r="T5" s="3"/>
      <c r="U5" s="3"/>
      <c r="V5" s="3"/>
      <c r="W5" s="3"/>
      <c r="X5" s="3"/>
      <c r="Y5" s="3"/>
      <c r="Z5" s="3"/>
    </row>
    <row r="6" spans="1:26" ht="23.25" customHeight="1">
      <c r="A6" s="3"/>
      <c r="B6" s="6" t="s">
        <v>4</v>
      </c>
      <c r="C6" s="7" t="s">
        <v>5</v>
      </c>
      <c r="D6" s="3"/>
      <c r="E6" s="3"/>
      <c r="F6" s="3"/>
      <c r="G6" s="3"/>
      <c r="H6" s="3" t="s">
        <v>6</v>
      </c>
      <c r="I6" s="3"/>
      <c r="J6" s="3"/>
      <c r="K6" s="3"/>
      <c r="L6" s="3"/>
      <c r="M6" s="3"/>
      <c r="N6" s="3"/>
      <c r="O6" s="3"/>
      <c r="P6" s="3"/>
      <c r="Q6" s="3"/>
      <c r="R6" s="3"/>
      <c r="S6" s="3"/>
      <c r="T6" s="3"/>
      <c r="U6" s="3"/>
      <c r="V6" s="3"/>
      <c r="W6" s="3"/>
      <c r="X6" s="3"/>
      <c r="Y6" s="3"/>
      <c r="Z6" s="3"/>
    </row>
    <row r="7" spans="1:26" ht="23.25" customHeight="1">
      <c r="A7" s="3"/>
      <c r="B7" s="6" t="s">
        <v>7</v>
      </c>
      <c r="C7" s="7" t="s">
        <v>8</v>
      </c>
      <c r="D7" s="3"/>
      <c r="E7" s="3"/>
      <c r="F7" s="3"/>
      <c r="G7" s="3"/>
      <c r="H7" s="3" t="s">
        <v>9</v>
      </c>
      <c r="I7" s="3"/>
      <c r="J7" s="3"/>
      <c r="K7" s="3"/>
      <c r="L7" s="3"/>
      <c r="M7" s="3"/>
      <c r="N7" s="3"/>
      <c r="O7" s="3"/>
      <c r="P7" s="3"/>
      <c r="Q7" s="3"/>
      <c r="R7" s="3"/>
      <c r="S7" s="3"/>
      <c r="T7" s="3"/>
      <c r="U7" s="3"/>
      <c r="V7" s="3"/>
      <c r="W7" s="3"/>
      <c r="X7" s="3"/>
      <c r="Y7" s="3"/>
      <c r="Z7" s="3"/>
    </row>
    <row r="8" spans="1:26" ht="23.25" customHeight="1">
      <c r="A8" s="3"/>
      <c r="B8" s="6" t="s">
        <v>10</v>
      </c>
      <c r="C8" s="7" t="s">
        <v>11</v>
      </c>
      <c r="D8" s="3"/>
      <c r="E8" s="3"/>
      <c r="F8" s="3"/>
      <c r="G8" s="3"/>
      <c r="H8" s="3" t="s">
        <v>12</v>
      </c>
      <c r="I8" s="3"/>
      <c r="J8" s="3"/>
      <c r="K8" s="3"/>
      <c r="L8" s="3"/>
      <c r="M8" s="3"/>
      <c r="N8" s="3"/>
      <c r="O8" s="3"/>
      <c r="P8" s="3"/>
      <c r="Q8" s="3"/>
      <c r="R8" s="3"/>
      <c r="S8" s="3"/>
      <c r="T8" s="3"/>
      <c r="U8" s="3"/>
      <c r="V8" s="3"/>
      <c r="W8" s="3"/>
      <c r="X8" s="3"/>
      <c r="Y8" s="3"/>
      <c r="Z8" s="3"/>
    </row>
    <row r="9" spans="1:26" ht="23.25" customHeight="1">
      <c r="A9" s="3"/>
      <c r="B9" s="6" t="s">
        <v>13</v>
      </c>
      <c r="C9" s="7" t="s">
        <v>14</v>
      </c>
      <c r="D9" s="3"/>
      <c r="E9" s="3"/>
      <c r="F9" s="3"/>
      <c r="G9" s="3"/>
      <c r="H9" s="3" t="s">
        <v>15</v>
      </c>
      <c r="I9" s="3"/>
      <c r="J9" s="3"/>
      <c r="K9" s="3"/>
      <c r="L9" s="3"/>
      <c r="M9" s="3"/>
      <c r="N9" s="3"/>
      <c r="O9" s="3"/>
      <c r="P9" s="3"/>
      <c r="Q9" s="3"/>
      <c r="R9" s="3"/>
      <c r="S9" s="3"/>
      <c r="T9" s="3"/>
      <c r="U9" s="3"/>
      <c r="V9" s="3"/>
      <c r="W9" s="3"/>
      <c r="X9" s="3"/>
      <c r="Y9" s="3"/>
      <c r="Z9" s="3"/>
    </row>
    <row r="10" spans="1:26" ht="23.25" customHeight="1">
      <c r="A10" s="3"/>
      <c r="B10" s="6" t="s">
        <v>16</v>
      </c>
      <c r="C10" s="8" t="s">
        <v>17</v>
      </c>
      <c r="D10" s="3"/>
      <c r="E10" s="3"/>
      <c r="F10" s="3"/>
      <c r="G10" s="3"/>
      <c r="H10" s="3" t="s">
        <v>18</v>
      </c>
      <c r="I10" s="3"/>
      <c r="J10" s="3"/>
      <c r="K10" s="3"/>
      <c r="L10" s="3"/>
      <c r="M10" s="3"/>
      <c r="N10" s="3"/>
      <c r="O10" s="3"/>
      <c r="P10" s="3"/>
      <c r="Q10" s="3"/>
      <c r="R10" s="3"/>
      <c r="S10" s="3"/>
      <c r="T10" s="3"/>
      <c r="U10" s="3"/>
      <c r="V10" s="3"/>
      <c r="W10" s="3"/>
      <c r="X10" s="3"/>
      <c r="Y10" s="3"/>
      <c r="Z10" s="3"/>
    </row>
    <row r="11" spans="1:26" ht="23.25" customHeight="1">
      <c r="A11" s="3"/>
      <c r="B11" s="9" t="s">
        <v>19</v>
      </c>
      <c r="C11" s="8">
        <v>3117434376</v>
      </c>
      <c r="D11" s="3"/>
      <c r="E11" s="3"/>
      <c r="F11" s="3"/>
      <c r="G11" s="3"/>
      <c r="H11" s="3" t="s">
        <v>20</v>
      </c>
      <c r="I11" s="3"/>
      <c r="J11" s="3"/>
      <c r="K11" s="3"/>
      <c r="L11" s="3"/>
      <c r="M11" s="3"/>
      <c r="N11" s="3"/>
      <c r="O11" s="3"/>
      <c r="P11" s="3"/>
      <c r="Q11" s="3"/>
      <c r="R11" s="3"/>
      <c r="S11" s="3"/>
      <c r="T11" s="3"/>
      <c r="U11" s="3"/>
      <c r="V11" s="3"/>
      <c r="W11" s="3"/>
      <c r="X11" s="3"/>
      <c r="Y11" s="3"/>
      <c r="Z11" s="3"/>
    </row>
    <row r="12" spans="1:26">
      <c r="H12" s="10" t="s">
        <v>21</v>
      </c>
    </row>
    <row r="13" spans="1:26">
      <c r="H13" s="10" t="s">
        <v>22</v>
      </c>
    </row>
    <row r="14" spans="1:26">
      <c r="H14" s="10" t="s">
        <v>23</v>
      </c>
    </row>
    <row r="15" spans="1:26">
      <c r="H15" s="10" t="s">
        <v>24</v>
      </c>
    </row>
    <row r="16" spans="1:26">
      <c r="H16" s="10" t="s">
        <v>25</v>
      </c>
    </row>
    <row r="17" spans="1:26">
      <c r="H17" s="10" t="s">
        <v>26</v>
      </c>
    </row>
    <row r="18" spans="1:26">
      <c r="H18" s="10" t="s">
        <v>27</v>
      </c>
    </row>
    <row r="19" spans="1:26">
      <c r="H19" s="10" t="s">
        <v>28</v>
      </c>
    </row>
    <row r="20" spans="1:26">
      <c r="H20" s="10" t="s">
        <v>2</v>
      </c>
    </row>
    <row r="21" spans="1:26" ht="15.75" customHeight="1">
      <c r="H21" s="10" t="s">
        <v>29</v>
      </c>
    </row>
    <row r="22" spans="1:26" ht="15.75" customHeight="1">
      <c r="H22" s="10" t="s">
        <v>30</v>
      </c>
    </row>
    <row r="23" spans="1:26" ht="15.75" customHeight="1">
      <c r="H23" s="10" t="s">
        <v>31</v>
      </c>
    </row>
    <row r="24" spans="1:26" ht="15.75" customHeight="1">
      <c r="H24" s="10" t="s">
        <v>32</v>
      </c>
    </row>
    <row r="25" spans="1:26" ht="15.75" customHeight="1">
      <c r="H25" s="10" t="s">
        <v>33</v>
      </c>
    </row>
    <row r="26" spans="1:26" ht="15.75" customHeight="1">
      <c r="H26" s="10" t="s">
        <v>34</v>
      </c>
    </row>
    <row r="27" spans="1:26" ht="15.75" customHeight="1">
      <c r="H27" s="10" t="s">
        <v>35</v>
      </c>
    </row>
    <row r="28" spans="1:26" ht="15.75" customHeight="1">
      <c r="H28" s="10" t="s">
        <v>36</v>
      </c>
    </row>
    <row r="29" spans="1:26" ht="15.75" customHeight="1">
      <c r="A29" s="10"/>
      <c r="B29" s="10"/>
      <c r="C29" s="10"/>
      <c r="D29" s="10"/>
      <c r="E29" s="10"/>
      <c r="F29" s="10"/>
      <c r="G29" s="10"/>
      <c r="H29" s="10" t="s">
        <v>37</v>
      </c>
      <c r="I29" s="10"/>
      <c r="J29" s="10"/>
      <c r="K29" s="10"/>
      <c r="L29" s="10"/>
      <c r="M29" s="10"/>
      <c r="N29" s="10"/>
      <c r="O29" s="10"/>
      <c r="P29" s="10"/>
      <c r="Q29" s="10"/>
      <c r="R29" s="10"/>
      <c r="S29" s="10"/>
      <c r="T29" s="10"/>
      <c r="U29" s="10"/>
      <c r="V29" s="10"/>
      <c r="W29" s="10"/>
      <c r="X29" s="10"/>
      <c r="Y29" s="10"/>
      <c r="Z29" s="10"/>
    </row>
    <row r="30" spans="1:26" ht="15.75" customHeight="1">
      <c r="H30" s="10" t="s">
        <v>38</v>
      </c>
    </row>
    <row r="31" spans="1:26" ht="15.75" customHeight="1">
      <c r="H31" s="10" t="s">
        <v>39</v>
      </c>
    </row>
    <row r="32" spans="1:26" ht="15.75" customHeight="1">
      <c r="H32" s="10" t="s">
        <v>40</v>
      </c>
    </row>
    <row r="33" spans="8:8" ht="15.75" customHeight="1">
      <c r="H33" s="10" t="s">
        <v>41</v>
      </c>
    </row>
    <row r="34" spans="8:8" ht="15.75" customHeight="1">
      <c r="H34" s="10" t="s">
        <v>42</v>
      </c>
    </row>
    <row r="35" spans="8:8" ht="15.75" customHeight="1">
      <c r="H35" s="10" t="s">
        <v>43</v>
      </c>
    </row>
    <row r="36" spans="8:8" ht="15.75" customHeight="1">
      <c r="H36" s="10" t="s">
        <v>44</v>
      </c>
    </row>
    <row r="37" spans="8:8" ht="15.75" customHeight="1">
      <c r="H37" s="10" t="s">
        <v>45</v>
      </c>
    </row>
    <row r="38" spans="8:8" ht="15.75" customHeight="1"/>
    <row r="39" spans="8:8" ht="15.75" customHeight="1">
      <c r="H39" s="10" t="s">
        <v>46</v>
      </c>
    </row>
    <row r="40" spans="8:8" ht="15.75" customHeight="1">
      <c r="H40" s="10" t="s">
        <v>47</v>
      </c>
    </row>
    <row r="41" spans="8:8" ht="15.75" customHeight="1">
      <c r="H41" s="10" t="s">
        <v>48</v>
      </c>
    </row>
    <row r="42" spans="8:8" ht="15.75" customHeight="1">
      <c r="H42" s="10" t="s">
        <v>49</v>
      </c>
    </row>
    <row r="43" spans="8:8" ht="15.75" customHeight="1">
      <c r="H43" s="10" t="s">
        <v>50</v>
      </c>
    </row>
    <row r="44" spans="8:8" ht="15.75" customHeight="1">
      <c r="H44" s="10" t="s">
        <v>51</v>
      </c>
    </row>
    <row r="45" spans="8:8" ht="15.75" customHeight="1">
      <c r="H45" s="10" t="s">
        <v>52</v>
      </c>
    </row>
    <row r="46" spans="8:8" ht="15.75" customHeight="1">
      <c r="H46" s="10" t="s">
        <v>53</v>
      </c>
    </row>
    <row r="47" spans="8:8" ht="15.75" customHeight="1">
      <c r="H47" s="10" t="s">
        <v>54</v>
      </c>
    </row>
    <row r="48" spans="8:8" ht="15.75" customHeight="1">
      <c r="H48" s="10" t="s">
        <v>55</v>
      </c>
    </row>
    <row r="49" spans="8:8" ht="15.75" customHeight="1">
      <c r="H49" s="10" t="s">
        <v>56</v>
      </c>
    </row>
    <row r="50" spans="8:8" ht="15.75" customHeight="1">
      <c r="H50" s="10" t="s">
        <v>57</v>
      </c>
    </row>
    <row r="51" spans="8:8" ht="15.75" customHeight="1">
      <c r="H51" s="10" t="s">
        <v>58</v>
      </c>
    </row>
    <row r="52" spans="8:8" ht="15.75" customHeight="1">
      <c r="H52" s="10" t="s">
        <v>59</v>
      </c>
    </row>
    <row r="53" spans="8:8" ht="15.75" customHeight="1">
      <c r="H53" s="10" t="s">
        <v>5</v>
      </c>
    </row>
    <row r="54" spans="8:8" ht="15.75" customHeight="1">
      <c r="H54" s="10" t="s">
        <v>60</v>
      </c>
    </row>
    <row r="55" spans="8:8" ht="15.75" customHeight="1">
      <c r="H55" s="10" t="s">
        <v>61</v>
      </c>
    </row>
    <row r="56" spans="8:8" ht="15.75" customHeight="1">
      <c r="H56" s="10" t="s">
        <v>62</v>
      </c>
    </row>
    <row r="57" spans="8:8" ht="15.75" customHeight="1">
      <c r="H57" s="10" t="s">
        <v>63</v>
      </c>
    </row>
    <row r="58" spans="8:8" ht="15.75" customHeight="1">
      <c r="H58" s="10" t="s">
        <v>64</v>
      </c>
    </row>
    <row r="59" spans="8:8" ht="15.75" customHeight="1"/>
    <row r="60" spans="8:8" ht="15.75" customHeight="1"/>
    <row r="61" spans="8:8" ht="15.75" customHeight="1"/>
    <row r="62" spans="8:8" ht="15.75" customHeight="1"/>
    <row r="63" spans="8:8" ht="15.75" customHeight="1"/>
    <row r="64" spans="8: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C2"/>
  </mergeCells>
  <dataValidations count="2">
    <dataValidation type="list" allowBlank="1" showInputMessage="1" showErrorMessage="1" prompt="Seleccione la CAR de la cual incorporara la información" sqref="C5" xr:uid="{00000000-0002-0000-0000-000000000000}">
      <formula1>Lista_CAR</formula1>
    </dataValidation>
    <dataValidation type="list" allowBlank="1" showInputMessage="1" showErrorMessage="1" prompt="Seleccione el perido a reportar" sqref="C6" xr:uid="{00000000-0002-0000-0000-000001000000}">
      <formula1>$H$39:$H$58</formula1>
    </dataValidation>
  </dataValidations>
  <hyperlinks>
    <hyperlink ref="C10" r:id="rId1" xr:uid="{00000000-0004-0000-0000-000000000000}"/>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cols>
    <col min="1" max="6" width="11.42578125" customWidth="1"/>
    <col min="7" max="26" width="10.7109375" customWidth="1"/>
  </cols>
  <sheetData>
    <row r="1" spans="1:26" ht="12.75" customHeight="1">
      <c r="A1" s="11" t="s">
        <v>65</v>
      </c>
      <c r="B1" s="12" t="s">
        <v>66</v>
      </c>
      <c r="C1" s="11"/>
      <c r="D1" s="11"/>
      <c r="E1" s="11"/>
      <c r="F1" s="11"/>
      <c r="G1" s="11"/>
      <c r="H1" s="11"/>
      <c r="I1" s="11"/>
      <c r="J1" s="11"/>
      <c r="K1" s="11"/>
      <c r="L1" s="11"/>
      <c r="M1" s="11"/>
      <c r="N1" s="11"/>
      <c r="O1" s="11"/>
      <c r="P1" s="11"/>
      <c r="Q1" s="11"/>
      <c r="R1" s="11"/>
      <c r="S1" s="11"/>
      <c r="T1" s="11"/>
      <c r="U1" s="11"/>
      <c r="V1" s="11"/>
      <c r="W1" s="11"/>
      <c r="X1" s="11"/>
      <c r="Y1" s="11"/>
      <c r="Z1" s="11"/>
    </row>
    <row r="2" spans="1:26" ht="12.75" customHeight="1">
      <c r="A2" s="11" t="s">
        <v>67</v>
      </c>
      <c r="B2" s="12" t="s">
        <v>68</v>
      </c>
      <c r="C2" s="11"/>
      <c r="D2" s="11"/>
      <c r="E2" s="11"/>
      <c r="F2" s="11"/>
      <c r="G2" s="11"/>
      <c r="H2" s="11"/>
      <c r="I2" s="11"/>
      <c r="J2" s="11"/>
      <c r="K2" s="11"/>
      <c r="L2" s="11"/>
      <c r="M2" s="11"/>
      <c r="N2" s="11"/>
      <c r="O2" s="11"/>
      <c r="P2" s="11"/>
      <c r="Q2" s="11"/>
      <c r="R2" s="11"/>
      <c r="S2" s="11"/>
      <c r="T2" s="11"/>
      <c r="U2" s="11"/>
      <c r="V2" s="11"/>
      <c r="W2" s="11"/>
      <c r="X2" s="11"/>
      <c r="Y2" s="11"/>
      <c r="Z2" s="11"/>
    </row>
    <row r="3" spans="1:26" ht="12.75" customHeight="1">
      <c r="A3" s="11" t="s">
        <v>69</v>
      </c>
      <c r="B3" s="12" t="s">
        <v>70</v>
      </c>
      <c r="C3" s="11"/>
      <c r="D3" s="11"/>
      <c r="E3" s="11"/>
      <c r="F3" s="11"/>
      <c r="G3" s="11"/>
      <c r="H3" s="11"/>
      <c r="I3" s="11"/>
      <c r="J3" s="11"/>
      <c r="K3" s="11"/>
      <c r="L3" s="11"/>
      <c r="M3" s="11"/>
      <c r="N3" s="11"/>
      <c r="O3" s="11"/>
      <c r="P3" s="11"/>
      <c r="Q3" s="11"/>
      <c r="R3" s="11"/>
      <c r="S3" s="11"/>
      <c r="T3" s="11"/>
      <c r="U3" s="11"/>
      <c r="V3" s="11"/>
      <c r="W3" s="11"/>
      <c r="X3" s="11"/>
      <c r="Y3" s="11"/>
      <c r="Z3" s="11"/>
    </row>
    <row r="4" spans="1:26" ht="12.75" customHeight="1">
      <c r="A4" s="11" t="s">
        <v>71</v>
      </c>
      <c r="B4" s="12" t="s">
        <v>72</v>
      </c>
      <c r="C4" s="11"/>
      <c r="D4" s="11"/>
      <c r="E4" s="11"/>
      <c r="F4" s="11"/>
      <c r="G4" s="11"/>
      <c r="H4" s="11"/>
      <c r="I4" s="11"/>
      <c r="J4" s="11"/>
      <c r="K4" s="11"/>
      <c r="L4" s="11"/>
      <c r="M4" s="11"/>
      <c r="N4" s="11"/>
      <c r="O4" s="11"/>
      <c r="P4" s="11"/>
      <c r="Q4" s="11"/>
      <c r="R4" s="11"/>
      <c r="S4" s="11"/>
      <c r="T4" s="11"/>
      <c r="U4" s="11"/>
      <c r="V4" s="11"/>
      <c r="W4" s="11"/>
      <c r="X4" s="11"/>
      <c r="Y4" s="11"/>
      <c r="Z4" s="11"/>
    </row>
    <row r="5" spans="1:26" ht="12.75" customHeight="1">
      <c r="A5" s="11" t="s">
        <v>73</v>
      </c>
      <c r="B5" s="12" t="s">
        <v>74</v>
      </c>
      <c r="C5" s="11"/>
      <c r="D5" s="11"/>
      <c r="E5" s="11"/>
      <c r="F5" s="11"/>
      <c r="G5" s="11"/>
      <c r="H5" s="11"/>
      <c r="I5" s="11"/>
      <c r="J5" s="11"/>
      <c r="K5" s="11"/>
      <c r="L5" s="11"/>
      <c r="M5" s="11"/>
      <c r="N5" s="11"/>
      <c r="O5" s="11"/>
      <c r="P5" s="11"/>
      <c r="Q5" s="11"/>
      <c r="R5" s="11"/>
      <c r="S5" s="11"/>
      <c r="T5" s="11"/>
      <c r="U5" s="11"/>
      <c r="V5" s="11"/>
      <c r="W5" s="11"/>
      <c r="X5" s="11"/>
      <c r="Y5" s="11"/>
      <c r="Z5" s="11"/>
    </row>
    <row r="6" spans="1:26" ht="12.75" customHeight="1">
      <c r="A6" s="11" t="s">
        <v>75</v>
      </c>
      <c r="B6" s="12" t="s">
        <v>76</v>
      </c>
      <c r="C6" s="11"/>
      <c r="D6" s="11"/>
      <c r="E6" s="11"/>
      <c r="F6" s="11"/>
      <c r="G6" s="11"/>
      <c r="H6" s="11"/>
      <c r="I6" s="11"/>
      <c r="J6" s="11"/>
      <c r="K6" s="11"/>
      <c r="L6" s="11"/>
      <c r="M6" s="11"/>
      <c r="N6" s="11"/>
      <c r="O6" s="11"/>
      <c r="P6" s="11"/>
      <c r="Q6" s="11"/>
      <c r="R6" s="11"/>
      <c r="S6" s="11"/>
      <c r="T6" s="11"/>
      <c r="U6" s="11"/>
      <c r="V6" s="11"/>
      <c r="W6" s="11"/>
      <c r="X6" s="11"/>
      <c r="Y6" s="11"/>
      <c r="Z6" s="11"/>
    </row>
    <row r="7" spans="1:26" ht="12.75" customHeight="1">
      <c r="A7" s="11" t="s">
        <v>77</v>
      </c>
      <c r="B7" s="12" t="s">
        <v>78</v>
      </c>
      <c r="C7" s="11"/>
      <c r="D7" s="11"/>
      <c r="E7" s="11"/>
      <c r="F7" s="11"/>
      <c r="G7" s="11"/>
      <c r="H7" s="11"/>
      <c r="I7" s="11"/>
      <c r="J7" s="11"/>
      <c r="K7" s="11"/>
      <c r="L7" s="11"/>
      <c r="M7" s="11"/>
      <c r="N7" s="11"/>
      <c r="O7" s="11"/>
      <c r="P7" s="11"/>
      <c r="Q7" s="11"/>
      <c r="R7" s="11"/>
      <c r="S7" s="11"/>
      <c r="T7" s="11"/>
      <c r="U7" s="11"/>
      <c r="V7" s="11"/>
      <c r="W7" s="11"/>
      <c r="X7" s="11"/>
      <c r="Y7" s="11"/>
      <c r="Z7" s="11"/>
    </row>
    <row r="8" spans="1:26" ht="12.75" customHeight="1">
      <c r="A8" s="11" t="s">
        <v>79</v>
      </c>
      <c r="B8" s="12" t="s">
        <v>80</v>
      </c>
      <c r="C8" s="11"/>
      <c r="D8" s="11"/>
      <c r="E8" s="11"/>
      <c r="F8" s="11"/>
      <c r="G8" s="11"/>
      <c r="H8" s="11"/>
      <c r="I8" s="11"/>
      <c r="J8" s="11"/>
      <c r="K8" s="11"/>
      <c r="L8" s="11"/>
      <c r="M8" s="11"/>
      <c r="N8" s="11"/>
      <c r="O8" s="11"/>
      <c r="P8" s="11"/>
      <c r="Q8" s="11"/>
      <c r="R8" s="11"/>
      <c r="S8" s="11"/>
      <c r="T8" s="11"/>
      <c r="U8" s="11"/>
      <c r="V8" s="11"/>
      <c r="W8" s="11"/>
      <c r="X8" s="11"/>
      <c r="Y8" s="11"/>
      <c r="Z8" s="11"/>
    </row>
    <row r="9" spans="1:26" ht="12.75" customHeight="1">
      <c r="A9" s="11" t="s">
        <v>81</v>
      </c>
      <c r="B9" s="12" t="s">
        <v>82</v>
      </c>
      <c r="C9" s="11"/>
      <c r="D9" s="11"/>
      <c r="E9" s="11"/>
      <c r="F9" s="11"/>
      <c r="G9" s="11"/>
      <c r="H9" s="11"/>
      <c r="I9" s="11"/>
      <c r="J9" s="11"/>
      <c r="K9" s="11"/>
      <c r="L9" s="11"/>
      <c r="M9" s="11"/>
      <c r="N9" s="11"/>
      <c r="O9" s="11"/>
      <c r="P9" s="11"/>
      <c r="Q9" s="11"/>
      <c r="R9" s="11"/>
      <c r="S9" s="11"/>
      <c r="T9" s="11"/>
      <c r="U9" s="11"/>
      <c r="V9" s="11"/>
      <c r="W9" s="11"/>
      <c r="X9" s="11"/>
      <c r="Y9" s="11"/>
      <c r="Z9" s="11"/>
    </row>
    <row r="10" spans="1:26" ht="12.75" customHeight="1">
      <c r="A10" s="11" t="s">
        <v>83</v>
      </c>
      <c r="B10" s="12" t="s">
        <v>84</v>
      </c>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12.75" customHeight="1">
      <c r="A11" s="11"/>
      <c r="B11" s="12" t="s">
        <v>85</v>
      </c>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2.75" customHeight="1">
      <c r="A12" s="11"/>
      <c r="B12" s="12" t="s">
        <v>86</v>
      </c>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ht="12.75" customHeight="1">
      <c r="A13" s="11"/>
      <c r="B13" s="12" t="s">
        <v>87</v>
      </c>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12.75" customHeight="1">
      <c r="A14" s="11"/>
      <c r="B14" s="12" t="s">
        <v>88</v>
      </c>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ht="12.75" customHeight="1">
      <c r="A15" s="11"/>
      <c r="B15" s="12" t="s">
        <v>89</v>
      </c>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2.75" customHeight="1">
      <c r="A16" s="11"/>
      <c r="B16" s="12" t="s">
        <v>90</v>
      </c>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2.75" customHeight="1">
      <c r="A17" s="11"/>
      <c r="B17" s="12" t="s">
        <v>91</v>
      </c>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2.75" customHeight="1">
      <c r="A18" s="11"/>
      <c r="B18" s="12" t="s">
        <v>92</v>
      </c>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2.75" customHeight="1">
      <c r="A19" s="11"/>
      <c r="B19" s="12" t="s">
        <v>93</v>
      </c>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2.75" customHeight="1">
      <c r="A20" s="11"/>
      <c r="B20" s="12" t="s">
        <v>94</v>
      </c>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2.75" customHeight="1">
      <c r="A21" s="11"/>
      <c r="B21" s="12" t="s">
        <v>95</v>
      </c>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2.75" customHeight="1">
      <c r="A22" s="11"/>
      <c r="B22" s="12" t="s">
        <v>96</v>
      </c>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2.75" customHeight="1">
      <c r="A23" s="11"/>
      <c r="B23" s="12" t="s">
        <v>97</v>
      </c>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2.75" customHeight="1">
      <c r="A24" s="11"/>
      <c r="B24" s="12" t="s">
        <v>98</v>
      </c>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2.75" customHeight="1">
      <c r="A25" s="11"/>
      <c r="B25" s="12" t="s">
        <v>99</v>
      </c>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2.75" customHeight="1">
      <c r="A26" s="11"/>
      <c r="B26" s="12" t="s">
        <v>100</v>
      </c>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2.75" customHeight="1">
      <c r="A27" s="11"/>
      <c r="B27" s="12" t="s">
        <v>101</v>
      </c>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2.75" customHeight="1">
      <c r="A28" s="11"/>
      <c r="B28" s="11" t="s">
        <v>83</v>
      </c>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2.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2.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2.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2.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2.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2.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2.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2.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2.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2.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2.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2.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2.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2.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2.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2.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2.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2.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2.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2.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2.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2.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2.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2.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2.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2.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2.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2.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2.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2.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2.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2.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2.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2.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2.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2.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2.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2.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2.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2.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2.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2.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2.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2.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2.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2.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2.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2.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2.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2.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2.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2.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2.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2.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2.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2.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2.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2.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2.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2.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2.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2.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2.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2.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2.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2.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2.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2.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2.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2.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2.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2.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2.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2.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2.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2.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2.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2.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2.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2.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2.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2.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2.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2.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2.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2.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2.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2.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2.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2.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2.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2.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2.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2.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2.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2.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2.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2.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2.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2.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2.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2.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2.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2.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2.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2.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2.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2.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2.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2.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2.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2.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2.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2.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2.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2.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2.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2.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2.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2.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2.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2.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2.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2.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2.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2.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2.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2.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2.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2.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2.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2.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2.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2.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2.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2.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2.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2.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2.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2.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2.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2.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2.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2.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2.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2.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2.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2.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2.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2.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2.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2.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2.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2.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2.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2.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2.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2.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2.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2.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2.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2.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2.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2.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2.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2.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2.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2.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2.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2.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2.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2.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2.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2.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2.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2.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2.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2.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2.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2.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2.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2.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2.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2.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2.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2.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2.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2.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2.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2.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2.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2.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2.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2.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2.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2.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2.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2.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2.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2.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2.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2.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2.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2.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2.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2.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2.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2.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2.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2.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2.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2.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2.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2.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2.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2.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2.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2.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2.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2.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2.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2.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2.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2.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2.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2.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2.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2.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2.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2.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2.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2.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2.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2.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2.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2.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2.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2.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2.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2.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2.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2.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2.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2.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2.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2.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2.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2.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2.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2.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2.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2.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2.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2.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2.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2.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2.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2.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2.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2.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2.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2.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2.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2.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2.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2.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2.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2.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2.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2.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2.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2.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2.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2.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2.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2.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2.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2.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2.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2.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2.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2.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2.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2.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2.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2.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2.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2.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2.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2.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2.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2.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2.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2.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2.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2.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2.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2.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2.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2.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2.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2.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2.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2.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2.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2.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2.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2.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2.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2.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2.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2.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2.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2.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2.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2.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2.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2.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2.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2.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2.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2.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2.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2.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2.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2.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2.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2.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2.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2.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2.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2.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2.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2.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2.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2.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2.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2.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2.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2.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2.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2.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2.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2.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2.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2.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2.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2.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2.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2.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2.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2.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2.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2.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2.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2.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2.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2.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2.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2.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2.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2.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2.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2.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2.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2.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2.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2.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2.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2.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2.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2.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2.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2.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2.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2.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2.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2.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2.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2.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2.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2.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2.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2.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2.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2.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2.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2.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2.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2.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2.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2.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2.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2.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2.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2.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2.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2.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2.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2.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2.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2.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2.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2.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2.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2.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2.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2.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2.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2.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2.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2.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2.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2.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2.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2.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2.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2.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2.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2.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2.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2.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2.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2.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2.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2.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2.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2.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2.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2.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2.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2.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2.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2.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2.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2.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2.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2.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2.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2.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2.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2.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2.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2.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2.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2.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2.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2.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2.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2.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2.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2.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2.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2.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2.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2.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2.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2.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2.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2.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2.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2.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2.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2.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2.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2.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2.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2.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2.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2.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2.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2.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2.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2.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2.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2.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2.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2.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2.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2.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2.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2.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2.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2.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2.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2.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2.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2.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2.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2.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2.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2.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2.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2.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2.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2.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2.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2.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2.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2.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2.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2.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2.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2.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2.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2.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2.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2.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2.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2.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2.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2.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2.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2.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2.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2.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2.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2.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2.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2.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2.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2.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2.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2.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2.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2.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2.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2.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2.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2.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2.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2.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2.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2.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2.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2.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2.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2.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2.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2.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2.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2.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2.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2.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2.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2.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2.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2.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2.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2.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2.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2.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2.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2.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2.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2.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2.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2.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2.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2.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2.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2.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2.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2.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2.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2.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2.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2.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2.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2.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2.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2.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2.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2.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2.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2.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2.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2.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2.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2.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2.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2.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2.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2.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2.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2.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2.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2.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2.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2.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2.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2.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2.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2.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2.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2.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2.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2.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2.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2.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2.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2.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2.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2.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2.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2.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2.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2.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2.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2.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2.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2.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2.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2.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2.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2.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2.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2.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2.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2.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2.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2.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2.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2.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2.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2.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2.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2.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2.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2.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2.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2.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2.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2.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2.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2.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2.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2.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2.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2.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2.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2.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2.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2.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2.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2.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2.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2.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2.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2.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2.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2.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2.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2.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2.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2.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2.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2.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2.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2.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2.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2.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2.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2.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2.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2.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2.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2.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2.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2.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2.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2.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2.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2.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2.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2.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2.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2.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2.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2.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2.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2.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2.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2.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2.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2.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2.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2.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2.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2.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2.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2.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2.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2.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2.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2.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2.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2.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2.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2.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2.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2.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2.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2.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2.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2.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2.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2.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2.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2.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2.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2.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2.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2.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2.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2.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2.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2.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2.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2.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2.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2.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2.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2.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2.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2.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2.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hyperlinks>
    <hyperlink ref="B1" location="null!A1" display="Porcentaje de avance en la formulación y/o ajuste de los Planes de Ordenación y Manejo de Cuencas (POMCAS), Planes de Manejo de Acuíferos (PMA) y Planes de Manejo de Microcuencas (PMM)" xr:uid="{00000000-0004-0000-0100-000000000000}"/>
    <hyperlink ref="B2" location="null!A1" display="Porcentaje de cuerpos de agua con planes de ordenamiento del recurso hídrico (PORH) adoptados" xr:uid="{00000000-0004-0000-0100-000001000000}"/>
    <hyperlink ref="B3" location="null!_Toc467769470" display="Porcentaje de Planes de Saneamiento y Manejo de Vertimientos (PSMV) con seguimiento" xr:uid="{00000000-0004-0000-0100-000002000000}"/>
    <hyperlink ref="B4" location="null!_Toc467769471" display="Porcentaje de cuerpos de agua con reglamentación del uso de las aguas" xr:uid="{00000000-0004-0000-0100-000003000000}"/>
    <hyperlink ref="B5" location="null!_Toc467769472" display="Porcentaje de Programas de Uso Eficiente y Ahorro del Agua (PUEAA) con seguimiento" xr:uid="{00000000-0004-0000-0100-000004000000}"/>
    <hyperlink ref="B6" location="null!_Toc467769473" display="Porcentaje de Planes de Ordenación y Manejo de Cuencas (POMCAS), Planes de Manejo de Acuíferos (PMA) y Planes de Manejo de Microcuencas (PMM) en ejecución" xr:uid="{00000000-0004-0000-0100-000005000000}"/>
    <hyperlink ref="B7" location="null!_Toc467769474" display="Porcentaje de entes territoriales asesorados en la incorporación, planificación y ejecución de acciones relacionadas con cambio climático en el marco de los instrumentos de planificación territorial" xr:uid="{00000000-0004-0000-0100-000006000000}"/>
    <hyperlink ref="B8" location="null!_Toc467769475" display="Porcentaje de suelos degradados en recuperación o rehabilitación" xr:uid="{00000000-0004-0000-0100-000007000000}"/>
    <hyperlink ref="B9" location="null!_Toc467769476" display="Porcentaje de la superficie de áreas protegidas regionales declaradas, homologadas o recategorizadas, inscritas en el RUNAP" xr:uid="{00000000-0004-0000-0100-000008000000}"/>
    <hyperlink ref="B10" location="null!_Toc467769477" display="Porcentaje de páramos delimitados por el MADS, con zonificación y régimen de usos adoptados por la CAR" xr:uid="{00000000-0004-0000-0100-000009000000}"/>
    <hyperlink ref="B11" location="null!_Toc467769478" display="Porcentaje de avance en la formulación del Plan de Ordenación Forestal" xr:uid="{00000000-0004-0000-0100-00000A000000}"/>
    <hyperlink ref="B12" location="null!_Toc467769479" display="Porcentaje de áreas protegidas con planes de manejo en ejecución" xr:uid="{00000000-0004-0000-0100-00000B000000}"/>
    <hyperlink ref="B13" location="null!_Toc467769480" display="Porcentaje de especies amenazadas con medidas de conservación y manejo en ejecución" xr:uid="{00000000-0004-0000-0100-00000C000000}"/>
    <hyperlink ref="B14" location="null!_Toc467769481" display="Porcentaje de especies invasoras con medidas de prevención, control y manejo en ejecución" xr:uid="{00000000-0004-0000-0100-00000D000000}"/>
    <hyperlink ref="B15" location="null!_Toc467769482" display="Porcentaje de áreas de ecosistemas en restauración, rehabilitación y reforestación" xr:uid="{00000000-0004-0000-0100-00000E000000}"/>
    <hyperlink ref="B16" location="null!_Toc467769483" display="Implementación de acciones en manejo integrado de zonas costeras" xr:uid="{00000000-0004-0000-0100-00000F000000}"/>
    <hyperlink ref="B17" location="null!_Toc467769484" display="Porcentaje de Planes de Gestión Integral de Residuos Sólidos (PGIRS) con seguimiento a metas de aprovechamiento" xr:uid="{00000000-0004-0000-0100-000010000000}"/>
    <hyperlink ref="B18" location="null!_Toc467769485" display="Porcentaje de sectores con acompañamiento para la reconversión hacia sistemas sostenibles de producción" xr:uid="{00000000-0004-0000-0100-000011000000}"/>
    <hyperlink ref="B19" location="null!_Toc467769486" display="Porcentaje de ejecución de acciones en Gestión Ambiental Urbana" xr:uid="{00000000-0004-0000-0100-000012000000}"/>
    <hyperlink ref="B20" location="null!_Toc467769487" display="Implementación del Programa Regional de Negocios Verdes por la autoridad ambiental" xr:uid="{00000000-0004-0000-0100-000013000000}"/>
    <hyperlink ref="B21" location="null!_Toc467769488" display="Tiempo promedio de trámite para la resolución de autorizaciones ambientales otorgadas por la corporación" xr:uid="{00000000-0004-0000-0100-000014000000}"/>
    <hyperlink ref="B22" location="null!_Toc467769489" display="Porcentaje de autorizaciones ambientales con seguimiento" xr:uid="{00000000-0004-0000-0100-000015000000}"/>
    <hyperlink ref="B23" location="null!_Toc467769490" display="Porcentaje de Procesos Sancionatorios Resueltos" xr:uid="{00000000-0004-0000-0100-000016000000}"/>
    <hyperlink ref="B24" location="null!_Toc467769491" display="Porcentaje de municipios asesorados o asistidos en la inclusión del componente ambiental en los procesos de planificación y ordenamiento territorial, con énfasis en la incorporación de las determinantes ambientales para la revisión y ajuste de los POT" xr:uid="{00000000-0004-0000-0100-000017000000}"/>
    <hyperlink ref="B25" location="null!_Toc467769492" display="Porcentaje de redes y estaciones de monitoreo en operación" xr:uid="{00000000-0004-0000-0100-000018000000}"/>
    <hyperlink ref="B26" location="null!_Toc467769493" display="Porcentaje de actualización y reporte de la información en el SIAC" xr:uid="{00000000-0004-0000-0100-000019000000}"/>
    <hyperlink ref="B27" location="null!_Toc467769494" display="Ejecución de Acciones en Educación Ambiental" xr:uid="{00000000-0004-0000-0100-00001A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election sqref="A1:B1"/>
    </sheetView>
  </sheetViews>
  <sheetFormatPr defaultColWidth="14.42578125" defaultRowHeight="15" customHeight="1"/>
  <cols>
    <col min="1" max="1" width="47.42578125" customWidth="1"/>
    <col min="2" max="2" width="84.140625" customWidth="1"/>
    <col min="3" max="26" width="11.42578125" customWidth="1"/>
  </cols>
  <sheetData>
    <row r="1" spans="1:26" ht="130.5" customHeight="1">
      <c r="A1" s="358"/>
      <c r="B1" s="379"/>
      <c r="C1" s="165"/>
      <c r="D1" s="165"/>
      <c r="E1" s="165"/>
      <c r="F1" s="165"/>
      <c r="G1" s="165"/>
      <c r="H1" s="165"/>
      <c r="I1" s="165"/>
      <c r="J1" s="165"/>
      <c r="K1" s="165"/>
      <c r="L1" s="165"/>
      <c r="M1" s="165"/>
      <c r="N1" s="165"/>
      <c r="O1" s="165"/>
      <c r="P1" s="165"/>
      <c r="Q1" s="165"/>
      <c r="R1" s="165"/>
      <c r="S1" s="165"/>
      <c r="T1" s="165"/>
      <c r="U1" s="165"/>
      <c r="V1" s="165"/>
      <c r="W1" s="165"/>
      <c r="X1" s="165"/>
      <c r="Y1" s="165"/>
      <c r="Z1" s="165"/>
    </row>
    <row r="2" spans="1:26" ht="27" customHeight="1">
      <c r="A2" s="359" t="s">
        <v>102</v>
      </c>
      <c r="B2" s="380"/>
      <c r="C2" s="165"/>
      <c r="D2" s="165"/>
      <c r="E2" s="165"/>
      <c r="F2" s="165"/>
      <c r="G2" s="165"/>
      <c r="H2" s="165"/>
      <c r="I2" s="165"/>
      <c r="J2" s="165"/>
      <c r="K2" s="165"/>
      <c r="L2" s="165"/>
      <c r="M2" s="165"/>
      <c r="N2" s="165"/>
      <c r="O2" s="165"/>
      <c r="P2" s="165"/>
      <c r="Q2" s="165"/>
      <c r="R2" s="165"/>
      <c r="S2" s="165"/>
      <c r="T2" s="165"/>
      <c r="U2" s="165"/>
      <c r="V2" s="165"/>
      <c r="W2" s="165"/>
      <c r="X2" s="165"/>
      <c r="Y2" s="165"/>
      <c r="Z2" s="165"/>
    </row>
    <row r="3" spans="1:26" ht="24.75" customHeight="1">
      <c r="A3" s="360" t="s">
        <v>103</v>
      </c>
      <c r="B3" s="378"/>
      <c r="C3" s="165"/>
      <c r="D3" s="165"/>
      <c r="E3" s="165"/>
      <c r="F3" s="165"/>
      <c r="G3" s="165"/>
      <c r="H3" s="165"/>
      <c r="I3" s="165"/>
      <c r="J3" s="165"/>
      <c r="K3" s="165"/>
      <c r="L3" s="165"/>
      <c r="M3" s="165"/>
      <c r="N3" s="165"/>
      <c r="O3" s="165"/>
      <c r="P3" s="165"/>
      <c r="Q3" s="165"/>
      <c r="R3" s="165"/>
      <c r="S3" s="165"/>
      <c r="T3" s="165"/>
      <c r="U3" s="165"/>
      <c r="V3" s="165"/>
      <c r="W3" s="165"/>
      <c r="X3" s="165"/>
      <c r="Y3" s="165"/>
      <c r="Z3" s="165"/>
    </row>
    <row r="4" spans="1:26" ht="12.75" customHeight="1">
      <c r="A4" s="166" t="s">
        <v>104</v>
      </c>
      <c r="B4" s="166" t="s">
        <v>105</v>
      </c>
      <c r="C4" s="165"/>
      <c r="D4" s="165"/>
      <c r="E4" s="165"/>
      <c r="F4" s="165"/>
      <c r="G4" s="165"/>
      <c r="H4" s="165"/>
      <c r="I4" s="165"/>
      <c r="J4" s="165"/>
      <c r="K4" s="165"/>
      <c r="L4" s="165"/>
      <c r="M4" s="165"/>
      <c r="N4" s="165"/>
      <c r="O4" s="165"/>
      <c r="P4" s="165"/>
      <c r="Q4" s="165"/>
      <c r="R4" s="165"/>
      <c r="S4" s="165"/>
      <c r="T4" s="165"/>
      <c r="U4" s="165"/>
      <c r="V4" s="165"/>
      <c r="W4" s="165"/>
      <c r="X4" s="165"/>
      <c r="Y4" s="165"/>
      <c r="Z4" s="165"/>
    </row>
    <row r="5" spans="1:26" ht="18" customHeight="1">
      <c r="A5" s="167" t="s">
        <v>106</v>
      </c>
      <c r="B5" s="168" t="s">
        <v>107</v>
      </c>
      <c r="C5" s="165"/>
      <c r="D5" s="165"/>
      <c r="E5" s="165"/>
      <c r="F5" s="165"/>
      <c r="G5" s="165"/>
      <c r="H5" s="165"/>
      <c r="I5" s="165"/>
      <c r="J5" s="165"/>
      <c r="K5" s="165"/>
      <c r="L5" s="165"/>
      <c r="M5" s="165"/>
      <c r="N5" s="165"/>
      <c r="O5" s="165"/>
      <c r="P5" s="165"/>
      <c r="Q5" s="165"/>
      <c r="R5" s="165"/>
      <c r="S5" s="165"/>
      <c r="T5" s="165"/>
      <c r="U5" s="165"/>
      <c r="V5" s="165"/>
      <c r="W5" s="165"/>
      <c r="X5" s="165"/>
      <c r="Y5" s="165"/>
      <c r="Z5" s="165"/>
    </row>
    <row r="6" spans="1:26" ht="12.75" customHeight="1">
      <c r="A6" s="167" t="s">
        <v>108</v>
      </c>
      <c r="B6" s="168" t="s">
        <v>109</v>
      </c>
      <c r="C6" s="165"/>
      <c r="D6" s="165"/>
      <c r="E6" s="165"/>
      <c r="F6" s="165"/>
      <c r="G6" s="165"/>
      <c r="H6" s="165"/>
      <c r="I6" s="165"/>
      <c r="J6" s="165"/>
      <c r="K6" s="165"/>
      <c r="L6" s="165"/>
      <c r="M6" s="165"/>
      <c r="N6" s="165"/>
      <c r="O6" s="165"/>
      <c r="P6" s="165"/>
      <c r="Q6" s="165"/>
      <c r="R6" s="165"/>
      <c r="S6" s="165"/>
      <c r="T6" s="165"/>
      <c r="U6" s="165"/>
      <c r="V6" s="165"/>
      <c r="W6" s="165"/>
      <c r="X6" s="165"/>
      <c r="Y6" s="165"/>
      <c r="Z6" s="165"/>
    </row>
    <row r="7" spans="1:26" ht="34.5" customHeight="1">
      <c r="A7" s="167" t="s">
        <v>110</v>
      </c>
      <c r="B7" s="168" t="s">
        <v>111</v>
      </c>
      <c r="C7" s="165"/>
      <c r="D7" s="165"/>
      <c r="E7" s="165"/>
      <c r="F7" s="165"/>
      <c r="G7" s="165"/>
      <c r="H7" s="165"/>
      <c r="I7" s="165"/>
      <c r="J7" s="165"/>
      <c r="K7" s="165"/>
      <c r="L7" s="165"/>
      <c r="M7" s="165"/>
      <c r="N7" s="165"/>
      <c r="O7" s="165"/>
      <c r="P7" s="165"/>
      <c r="Q7" s="165"/>
      <c r="R7" s="165"/>
      <c r="S7" s="165"/>
      <c r="T7" s="165"/>
      <c r="U7" s="165"/>
      <c r="V7" s="165"/>
      <c r="W7" s="165"/>
      <c r="X7" s="165"/>
      <c r="Y7" s="165"/>
      <c r="Z7" s="165"/>
    </row>
    <row r="8" spans="1:26" ht="39.75" customHeight="1">
      <c r="A8" s="167" t="s">
        <v>112</v>
      </c>
      <c r="B8" s="168" t="s">
        <v>113</v>
      </c>
      <c r="C8" s="165"/>
      <c r="D8" s="165"/>
      <c r="E8" s="165"/>
      <c r="F8" s="165"/>
      <c r="G8" s="165"/>
      <c r="H8" s="165"/>
      <c r="I8" s="165"/>
      <c r="J8" s="165"/>
      <c r="K8" s="165"/>
      <c r="L8" s="165"/>
      <c r="M8" s="165"/>
      <c r="N8" s="165"/>
      <c r="O8" s="165"/>
      <c r="P8" s="165"/>
      <c r="Q8" s="165"/>
      <c r="R8" s="165"/>
      <c r="S8" s="165"/>
      <c r="T8" s="165"/>
      <c r="U8" s="165"/>
      <c r="V8" s="165"/>
      <c r="W8" s="165"/>
      <c r="X8" s="165"/>
      <c r="Y8" s="165"/>
      <c r="Z8" s="165"/>
    </row>
    <row r="9" spans="1:26" ht="32.25" customHeight="1">
      <c r="A9" s="167" t="s">
        <v>114</v>
      </c>
      <c r="B9" s="168" t="s">
        <v>115</v>
      </c>
      <c r="C9" s="165"/>
      <c r="D9" s="165"/>
      <c r="E9" s="165"/>
      <c r="F9" s="165"/>
      <c r="G9" s="165"/>
      <c r="H9" s="165"/>
      <c r="I9" s="165"/>
      <c r="J9" s="165"/>
      <c r="K9" s="165"/>
      <c r="L9" s="165"/>
      <c r="M9" s="165"/>
      <c r="N9" s="165"/>
      <c r="O9" s="165"/>
      <c r="P9" s="165"/>
      <c r="Q9" s="165"/>
      <c r="R9" s="165"/>
      <c r="S9" s="165"/>
      <c r="T9" s="165"/>
      <c r="U9" s="165"/>
      <c r="V9" s="165"/>
      <c r="W9" s="165"/>
      <c r="X9" s="165"/>
      <c r="Y9" s="165"/>
      <c r="Z9" s="165"/>
    </row>
    <row r="10" spans="1:26" ht="32.25" customHeight="1">
      <c r="A10" s="167" t="s">
        <v>116</v>
      </c>
      <c r="B10" s="168" t="s">
        <v>117</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row>
    <row r="11" spans="1:26" ht="57.75" customHeight="1">
      <c r="A11" s="167" t="s">
        <v>118</v>
      </c>
      <c r="B11" s="168" t="s">
        <v>119</v>
      </c>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row>
    <row r="12" spans="1:26" ht="21" customHeight="1">
      <c r="A12" s="167" t="s">
        <v>120</v>
      </c>
      <c r="B12" s="168" t="s">
        <v>121</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row>
    <row r="13" spans="1:26" ht="21" customHeight="1">
      <c r="A13" s="167" t="s">
        <v>122</v>
      </c>
      <c r="B13" s="168" t="s">
        <v>123</v>
      </c>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row>
    <row r="14" spans="1:26" ht="21" customHeight="1">
      <c r="A14" s="167" t="s">
        <v>124</v>
      </c>
      <c r="B14" s="168" t="s">
        <v>125</v>
      </c>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row>
    <row r="15" spans="1:26" ht="21" customHeight="1">
      <c r="A15" s="167" t="s">
        <v>126</v>
      </c>
      <c r="B15" s="168" t="s">
        <v>127</v>
      </c>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row>
    <row r="16" spans="1:26" ht="21" customHeight="1">
      <c r="A16" s="167" t="s">
        <v>128</v>
      </c>
      <c r="B16" s="168" t="s">
        <v>129</v>
      </c>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row>
    <row r="17" spans="1:26" ht="21" customHeight="1">
      <c r="A17" s="167" t="s">
        <v>130</v>
      </c>
      <c r="B17" s="168" t="s">
        <v>131</v>
      </c>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row>
    <row r="18" spans="1:26" ht="21.75" customHeight="1">
      <c r="A18" s="167" t="s">
        <v>132</v>
      </c>
      <c r="B18" s="168" t="s">
        <v>133</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row>
    <row r="19" spans="1:26" ht="21.75" customHeight="1">
      <c r="A19" s="167" t="s">
        <v>134</v>
      </c>
      <c r="B19" s="168" t="s">
        <v>135</v>
      </c>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row>
    <row r="20" spans="1:26" ht="21" customHeight="1">
      <c r="A20" s="167" t="s">
        <v>136</v>
      </c>
      <c r="B20" s="168" t="s">
        <v>137</v>
      </c>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26" ht="85.5" customHeight="1">
      <c r="A21" s="167" t="s">
        <v>138</v>
      </c>
      <c r="B21" s="169" t="s">
        <v>139</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row>
    <row r="22" spans="1:26" ht="36.75" customHeight="1">
      <c r="A22" s="167" t="s">
        <v>140</v>
      </c>
      <c r="B22" s="168" t="s">
        <v>141</v>
      </c>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row>
    <row r="23" spans="1:26" ht="30" customHeight="1">
      <c r="A23" s="167" t="s">
        <v>142</v>
      </c>
      <c r="B23" s="170" t="s">
        <v>143</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row>
    <row r="24" spans="1:26" ht="39" customHeight="1">
      <c r="A24" s="167" t="s">
        <v>144</v>
      </c>
      <c r="B24" s="168" t="s">
        <v>145</v>
      </c>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row>
    <row r="25" spans="1:26" ht="22.5" customHeight="1">
      <c r="A25" s="167" t="s">
        <v>146</v>
      </c>
      <c r="B25" s="168" t="s">
        <v>147</v>
      </c>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row>
    <row r="26" spans="1:26" ht="37.5" customHeight="1">
      <c r="A26" s="167" t="s">
        <v>148</v>
      </c>
      <c r="B26" s="168" t="s">
        <v>149</v>
      </c>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row>
    <row r="27" spans="1:26" ht="22.5" customHeight="1">
      <c r="A27" s="167" t="s">
        <v>150</v>
      </c>
      <c r="B27" s="168" t="s">
        <v>151</v>
      </c>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row>
    <row r="28" spans="1:26" ht="27" customHeight="1">
      <c r="A28" s="167" t="s">
        <v>152</v>
      </c>
      <c r="B28" s="168" t="s">
        <v>153</v>
      </c>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row>
    <row r="29" spans="1:26" ht="22.5" customHeight="1">
      <c r="A29" s="167" t="s">
        <v>154</v>
      </c>
      <c r="B29" s="168" t="s">
        <v>155</v>
      </c>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row>
    <row r="30" spans="1:26" ht="22.5" customHeight="1">
      <c r="A30" s="167" t="s">
        <v>156</v>
      </c>
      <c r="B30" s="168" t="s">
        <v>157</v>
      </c>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row>
    <row r="31" spans="1:26" ht="22.5" customHeight="1">
      <c r="A31" s="167" t="s">
        <v>158</v>
      </c>
      <c r="B31" s="168" t="s">
        <v>159</v>
      </c>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row>
    <row r="32" spans="1:26" ht="22.5" customHeight="1">
      <c r="A32" s="167" t="s">
        <v>160</v>
      </c>
      <c r="B32" s="168" t="s">
        <v>161</v>
      </c>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row>
    <row r="33" spans="1:26" ht="22.5" customHeight="1">
      <c r="A33" s="167" t="s">
        <v>162</v>
      </c>
      <c r="B33" s="168" t="s">
        <v>159</v>
      </c>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row>
    <row r="34" spans="1:26" ht="22.5" customHeight="1">
      <c r="A34" s="167" t="s">
        <v>163</v>
      </c>
      <c r="B34" s="168" t="s">
        <v>164</v>
      </c>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row>
    <row r="35" spans="1:26" ht="22.5" customHeight="1">
      <c r="A35" s="167" t="s">
        <v>165</v>
      </c>
      <c r="B35" s="168" t="s">
        <v>166</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row>
    <row r="36" spans="1:26" ht="21.75" customHeight="1">
      <c r="A36" s="167" t="s">
        <v>167</v>
      </c>
      <c r="B36" s="168" t="s">
        <v>168</v>
      </c>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row>
    <row r="37" spans="1:26" ht="25.5" customHeight="1">
      <c r="A37" s="167" t="s">
        <v>169</v>
      </c>
      <c r="B37" s="168" t="s">
        <v>170</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row>
    <row r="38" spans="1:26" ht="25.5" customHeight="1">
      <c r="A38" s="167" t="s">
        <v>171</v>
      </c>
      <c r="B38" s="168" t="s">
        <v>172</v>
      </c>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spans="1:26" ht="25.5" customHeight="1">
      <c r="A39" s="167" t="s">
        <v>173</v>
      </c>
      <c r="B39" s="168" t="s">
        <v>174</v>
      </c>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row>
    <row r="40" spans="1:26" ht="25.5" customHeight="1">
      <c r="A40" s="167" t="s">
        <v>175</v>
      </c>
      <c r="B40" s="168" t="s">
        <v>176</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row>
    <row r="41" spans="1:26" ht="21" customHeight="1">
      <c r="A41" s="167" t="s">
        <v>177</v>
      </c>
      <c r="B41" s="168" t="s">
        <v>178</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row>
    <row r="42" spans="1:26" ht="21" customHeight="1">
      <c r="A42" s="171" t="s">
        <v>179</v>
      </c>
      <c r="B42" s="172" t="s">
        <v>180</v>
      </c>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row>
    <row r="43" spans="1:26" ht="21" customHeight="1">
      <c r="A43" s="171" t="s">
        <v>181</v>
      </c>
      <c r="B43" s="172" t="s">
        <v>182</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row>
    <row r="44" spans="1:26" ht="24" customHeight="1">
      <c r="A44" s="171" t="s">
        <v>183</v>
      </c>
      <c r="B44" s="172" t="s">
        <v>184</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row>
    <row r="45" spans="1:26" ht="12.7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row>
    <row r="46" spans="1:26" ht="12.7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row>
    <row r="47" spans="1:26" ht="12.75" customHeigh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row>
    <row r="48" spans="1:26" ht="12.7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row>
    <row r="49" spans="1:26" ht="12.75" customHeigh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row>
    <row r="50" spans="1:26" ht="12.75" customHeigh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row>
    <row r="51" spans="1:26" ht="12.7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row>
    <row r="52" spans="1:26" ht="12.75" customHeight="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row>
    <row r="53" spans="1:26" ht="12.75" customHeight="1">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row>
    <row r="54" spans="1:26" ht="12.75" customHeight="1">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row>
    <row r="55" spans="1:26" ht="12.7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row>
    <row r="56" spans="1:26" ht="12.7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row>
    <row r="57" spans="1:26" ht="12.75" customHeigh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row>
    <row r="58" spans="1:26" ht="12.7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row>
    <row r="59" spans="1:26" ht="12.7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row>
    <row r="60" spans="1:26" ht="12.7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row>
    <row r="61" spans="1:26" ht="12.7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row>
    <row r="62" spans="1:26" ht="12.7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row>
    <row r="63" spans="1:26" ht="12.7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row>
    <row r="64" spans="1:26" ht="12.7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row>
    <row r="65" spans="1:26" ht="12.7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row>
    <row r="66" spans="1:26" ht="12.7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row>
    <row r="67" spans="1:26" ht="12.7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row>
    <row r="68" spans="1:26" ht="12.7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row>
    <row r="69" spans="1:26" ht="12.7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row>
    <row r="70" spans="1:26" ht="12.7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row>
    <row r="71" spans="1:26" ht="12.7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row>
    <row r="72" spans="1:26" ht="12.7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row>
    <row r="73" spans="1:26" ht="12.7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row>
    <row r="74" spans="1:26" ht="12.7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row>
    <row r="75" spans="1:26" ht="12.7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row>
    <row r="76" spans="1:26" ht="12.7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row>
    <row r="77" spans="1:26" ht="12.7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row>
    <row r="78" spans="1:26" ht="12.7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row>
    <row r="79" spans="1:26" ht="12.7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row>
    <row r="80" spans="1:26" ht="12.7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row>
    <row r="81" spans="1:26" ht="12.75" customHeigh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row>
    <row r="82" spans="1:26" ht="12.7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row>
    <row r="83" spans="1:26" ht="12.75" customHeigh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row>
    <row r="84" spans="1:26" ht="12.7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row>
    <row r="85" spans="1:26" ht="12.7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row>
    <row r="86" spans="1:26" ht="12.75" customHeight="1">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row>
    <row r="87" spans="1:26" ht="12.7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row>
    <row r="88" spans="1:26" ht="12.7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row>
    <row r="89" spans="1:26" ht="12.7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row>
    <row r="90" spans="1:26" ht="12.7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row>
    <row r="91" spans="1:26" ht="12.7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row>
    <row r="92" spans="1:26" ht="12.7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row>
    <row r="93" spans="1:26" ht="12.75" customHeight="1">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row>
    <row r="94" spans="1:26" ht="12.75"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row>
    <row r="95" spans="1:26" ht="12.7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row>
    <row r="96" spans="1:26" ht="12.7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row>
    <row r="97" spans="1:26" ht="12.7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row>
    <row r="98" spans="1:26" ht="12.7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row>
    <row r="99" spans="1:26" ht="12.7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row>
    <row r="100" spans="1:26" ht="12.75" customHeight="1">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row>
    <row r="101" spans="1:26" ht="12.75" customHeight="1">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row>
    <row r="102" spans="1:26" ht="12.75" customHeight="1">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row>
    <row r="103" spans="1:26" ht="12.75" customHeight="1">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row>
    <row r="104" spans="1:26" ht="12.75" customHeight="1">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row>
    <row r="105" spans="1:26" ht="12.75" customHeigh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row>
    <row r="106" spans="1:26" ht="12.75" customHeight="1">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row>
    <row r="107" spans="1:26" ht="12.75" customHeight="1">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row>
    <row r="108" spans="1:26" ht="12.75" customHeight="1">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row>
    <row r="109" spans="1:26" ht="12.75" customHeight="1">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row>
    <row r="110" spans="1:26" ht="12.75" customHeight="1">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row>
    <row r="111" spans="1:26" ht="12.75" customHeight="1">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row>
    <row r="112" spans="1:26" ht="12.75" customHeight="1">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row>
    <row r="113" spans="1:26" ht="12.75" customHeight="1">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row>
    <row r="114" spans="1:26" ht="12.75" customHeight="1">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row>
    <row r="115" spans="1:26" ht="12.75" customHeight="1">
      <c r="A115" s="165"/>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row>
    <row r="116" spans="1:26" ht="12.75" customHeight="1">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row>
    <row r="117" spans="1:26" ht="12.75" customHeight="1">
      <c r="A117" s="165"/>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row>
    <row r="118" spans="1:26" ht="12.75" customHeight="1">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row>
    <row r="119" spans="1:26" ht="12.75" customHeight="1">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row>
    <row r="120" spans="1:26" ht="12.75" customHeight="1">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row>
    <row r="121" spans="1:26" ht="12.75" customHeight="1">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row>
    <row r="122" spans="1:26" ht="12.75" customHeight="1">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row>
    <row r="123" spans="1:26" ht="12.75" customHeight="1">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row>
    <row r="124" spans="1:26" ht="12.75" customHeight="1">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row>
    <row r="125" spans="1:26" ht="12.75" customHeight="1">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row>
    <row r="126" spans="1:26" ht="12.75" customHeight="1">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row>
    <row r="127" spans="1:26" ht="12.75" customHeight="1">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row>
    <row r="128" spans="1:26" ht="12.75" customHeight="1">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row>
    <row r="129" spans="1:26" ht="12.75" customHeight="1">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row>
    <row r="130" spans="1:26" ht="12.75" customHeight="1">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row>
    <row r="131" spans="1:26" ht="12.75" customHeight="1">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row>
    <row r="132" spans="1:26" ht="12.75" customHeight="1">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row>
    <row r="133" spans="1:26" ht="12.75" customHeight="1">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row>
    <row r="134" spans="1:26" ht="12.75" customHeight="1">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row>
    <row r="135" spans="1:26" ht="12.75" customHeight="1">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row>
    <row r="136" spans="1:26" ht="12.75" customHeight="1">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row>
    <row r="137" spans="1:26" ht="12.75" customHeight="1">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row>
    <row r="138" spans="1:26" ht="12.75" customHeight="1">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row>
    <row r="139" spans="1:26" ht="12.75" customHeight="1">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row>
    <row r="140" spans="1:26" ht="12.75" customHeight="1">
      <c r="A140" s="16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row>
    <row r="141" spans="1:26" ht="12.75" customHeight="1">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row>
    <row r="142" spans="1:26" ht="12.75" customHeight="1">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row>
    <row r="143" spans="1:26" ht="12.75" customHeight="1">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row>
    <row r="144" spans="1:26" ht="12.75" customHeight="1">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row>
    <row r="145" spans="1:26" ht="12.75" customHeight="1">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row>
    <row r="146" spans="1:26" ht="12.75" customHeight="1">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row>
    <row r="147" spans="1:26" ht="12.75" customHeight="1">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row>
    <row r="148" spans="1:26" ht="12.75" customHeight="1">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row>
    <row r="149" spans="1:26" ht="12.75" customHeight="1">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row>
    <row r="150" spans="1:26" ht="12.75" customHeight="1">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row>
    <row r="151" spans="1:26" ht="12.75" customHeight="1">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row>
    <row r="152" spans="1:26" ht="12.75" customHeight="1">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row>
    <row r="153" spans="1:26" ht="12.75" customHeight="1">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row>
    <row r="154" spans="1:26" ht="12.75" customHeight="1">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row>
    <row r="155" spans="1:26" ht="12.75" customHeight="1">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row>
    <row r="156" spans="1:26" ht="12.75" customHeight="1">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row>
    <row r="157" spans="1:26" ht="12.75" customHeight="1">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row>
    <row r="158" spans="1:26" ht="12.75" customHeight="1">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row>
    <row r="159" spans="1:26" ht="12.75" customHeight="1">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row>
    <row r="160" spans="1:26" ht="12.75" customHeight="1">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row>
    <row r="161" spans="1:26" ht="12.75" customHeight="1">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row>
    <row r="162" spans="1:26" ht="12.75" customHeight="1">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row>
    <row r="163" spans="1:26" ht="12.75" customHeight="1">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row>
    <row r="164" spans="1:26" ht="12.75" customHeight="1">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row>
    <row r="165" spans="1:26" ht="12.75" customHeight="1">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row>
    <row r="166" spans="1:26" ht="12.75" customHeight="1">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row>
    <row r="167" spans="1:26" ht="12.75" customHeight="1">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row>
    <row r="168" spans="1:26" ht="12.75" customHeight="1">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row>
    <row r="169" spans="1:26" ht="12.75" customHeight="1">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row>
    <row r="170" spans="1:26" ht="12.75" customHeight="1">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row>
    <row r="171" spans="1:26" ht="12.75" customHeight="1">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row>
    <row r="172" spans="1:26" ht="12.75" customHeight="1">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row>
    <row r="173" spans="1:26" ht="12.75" customHeight="1">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row>
    <row r="174" spans="1:26" ht="12.75" customHeight="1">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row>
    <row r="175" spans="1:26" ht="12.75" customHeight="1">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row>
    <row r="176" spans="1:26" ht="12.75" customHeight="1">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row>
    <row r="177" spans="1:26" ht="12.75" customHeight="1">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row>
    <row r="178" spans="1:26" ht="12.75" customHeight="1">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row>
    <row r="179" spans="1:26" ht="12.75" customHeight="1">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row>
    <row r="180" spans="1:26" ht="12.75" customHeight="1">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row>
    <row r="181" spans="1:26" ht="12.75" customHeight="1">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row>
    <row r="182" spans="1:26" ht="12.75" customHeight="1">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row>
    <row r="183" spans="1:26" ht="12.75" customHeight="1">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row>
    <row r="184" spans="1:26" ht="12.75" customHeight="1">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row>
    <row r="185" spans="1:26" ht="12.75" customHeight="1">
      <c r="A185" s="165"/>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row>
    <row r="186" spans="1:26" ht="12.75" customHeight="1">
      <c r="A186" s="165"/>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row>
    <row r="187" spans="1:26" ht="12.75" customHeight="1">
      <c r="A187" s="165"/>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row>
    <row r="188" spans="1:26" ht="12.75" customHeight="1">
      <c r="A188" s="16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row>
    <row r="189" spans="1:26" ht="12.75" customHeight="1">
      <c r="A189" s="165"/>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row>
    <row r="190" spans="1:26" ht="12.75" customHeight="1">
      <c r="A190" s="165"/>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row>
    <row r="191" spans="1:26" ht="12.75" customHeight="1">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row>
    <row r="192" spans="1:26" ht="12.75" customHeight="1">
      <c r="A192" s="165"/>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row>
    <row r="193" spans="1:26" ht="12.75" customHeight="1">
      <c r="A193" s="16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row>
    <row r="194" spans="1:26" ht="12.75" customHeight="1">
      <c r="A194" s="16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row>
    <row r="195" spans="1:26" ht="12.75" customHeight="1">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row>
    <row r="196" spans="1:26" ht="12.75" customHeight="1">
      <c r="A196" s="165"/>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row>
    <row r="197" spans="1:26" ht="12.75" customHeight="1">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row>
    <row r="198" spans="1:26" ht="12.75" customHeight="1">
      <c r="A198" s="165"/>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row>
    <row r="199" spans="1:26" ht="12.75" customHeight="1">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row>
    <row r="200" spans="1:26" ht="12.75" customHeight="1">
      <c r="A200" s="165"/>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row>
    <row r="201" spans="1:26" ht="12.75" customHeight="1">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row>
    <row r="202" spans="1:26" ht="12.75" customHeight="1">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row>
    <row r="203" spans="1:26" ht="12.75" customHeight="1">
      <c r="A203" s="165"/>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row>
    <row r="204" spans="1:26" ht="12.75" customHeight="1">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row>
    <row r="205" spans="1:26" ht="12.75" customHeight="1">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row>
    <row r="206" spans="1:26" ht="12.75" customHeight="1">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row>
    <row r="207" spans="1:26" ht="12.75" customHeight="1">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row>
    <row r="208" spans="1:26" ht="12.75" customHeight="1">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row>
    <row r="209" spans="1:26" ht="12.75" customHeight="1">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row>
    <row r="210" spans="1:26" ht="12.75" customHeight="1">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row>
    <row r="211" spans="1:26" ht="12.75" customHeight="1">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row>
    <row r="212" spans="1:26" ht="12.75" customHeight="1">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row>
    <row r="213" spans="1:26" ht="12.75" customHeight="1">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row>
    <row r="214" spans="1:26" ht="12.75" customHeight="1">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row>
    <row r="215" spans="1:26" ht="12.75" customHeight="1">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row>
    <row r="216" spans="1:26" ht="12.75" customHeight="1">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row>
    <row r="217" spans="1:26" ht="12.75" customHeight="1">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row>
    <row r="218" spans="1:26" ht="12.75" customHeight="1">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row>
    <row r="219" spans="1:26" ht="12.75" customHeight="1">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row>
    <row r="220" spans="1:26" ht="12.75" customHeight="1">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row>
    <row r="221" spans="1:26" ht="12.75" customHeight="1">
      <c r="A221" s="165"/>
      <c r="B221" s="16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row>
    <row r="222" spans="1:26" ht="12.75" customHeight="1">
      <c r="A222" s="165"/>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row>
    <row r="223" spans="1:26" ht="12.75" customHeight="1">
      <c r="A223" s="16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row>
    <row r="224" spans="1:26" ht="12.75" customHeight="1">
      <c r="A224" s="16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row>
    <row r="225" spans="1:26" ht="12.75" customHeight="1">
      <c r="A225" s="16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row>
    <row r="226" spans="1:26" ht="12.75" customHeight="1">
      <c r="A226" s="16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row>
    <row r="227" spans="1:26" ht="12.75" customHeight="1">
      <c r="A227" s="16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row>
    <row r="228" spans="1:26" ht="12.75" customHeight="1">
      <c r="A228" s="16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row>
    <row r="229" spans="1:26" ht="12.75" customHeight="1">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row>
    <row r="230" spans="1:26" ht="12.75" customHeight="1">
      <c r="A230" s="16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row>
    <row r="231" spans="1:26" ht="12.75" customHeight="1">
      <c r="A231" s="16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row>
    <row r="232" spans="1:26" ht="12.75" customHeight="1">
      <c r="A232" s="165"/>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row>
    <row r="233" spans="1:26" ht="12.75" customHeight="1">
      <c r="A233" s="16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row>
    <row r="234" spans="1:26" ht="12.75" customHeight="1">
      <c r="A234" s="16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row>
    <row r="235" spans="1:26" ht="12.75" customHeight="1">
      <c r="A235" s="165"/>
      <c r="B235" s="16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row>
    <row r="236" spans="1:26" ht="12.75" customHeight="1">
      <c r="A236" s="165"/>
      <c r="B236" s="16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row>
    <row r="237" spans="1:26" ht="12.75" customHeight="1">
      <c r="A237" s="16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row>
    <row r="238" spans="1:26" ht="12.75" customHeight="1">
      <c r="A238" s="165"/>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row>
    <row r="239" spans="1:26" ht="12.75" customHeight="1">
      <c r="A239" s="16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row>
    <row r="240" spans="1:26" ht="12.75" customHeight="1">
      <c r="A240" s="165"/>
      <c r="B240" s="16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row>
    <row r="241" spans="1:26" ht="12.75" customHeight="1">
      <c r="A241" s="165"/>
      <c r="B241" s="165"/>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row>
    <row r="242" spans="1:26" ht="12.75" customHeight="1">
      <c r="A242" s="165"/>
      <c r="B242" s="16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row>
    <row r="243" spans="1:26" ht="12.75" customHeight="1">
      <c r="A243" s="165"/>
      <c r="B243" s="165"/>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row>
    <row r="244" spans="1:26" ht="12.75" customHeight="1">
      <c r="A244" s="165"/>
      <c r="B244" s="165"/>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row>
    <row r="245" spans="1:26" ht="12.75" customHeight="1">
      <c r="A245" s="165"/>
      <c r="B245" s="165"/>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row>
    <row r="246" spans="1:26" ht="12.75" customHeight="1">
      <c r="A246" s="165"/>
      <c r="B246" s="16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row>
    <row r="247" spans="1:26" ht="12.75" customHeight="1">
      <c r="A247" s="165"/>
      <c r="B247" s="165"/>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row>
    <row r="248" spans="1:26" ht="12.75" customHeight="1">
      <c r="A248" s="165"/>
      <c r="B248" s="165"/>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row>
    <row r="249" spans="1:26" ht="12.75" customHeight="1">
      <c r="A249" s="165"/>
      <c r="B249" s="165"/>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row>
    <row r="250" spans="1:26" ht="12.75" customHeight="1">
      <c r="A250" s="165"/>
      <c r="B250" s="16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row>
    <row r="251" spans="1:26" ht="12.75" customHeight="1">
      <c r="A251" s="165"/>
      <c r="B251" s="16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row>
    <row r="252" spans="1:26" ht="12.75" customHeight="1">
      <c r="A252" s="165"/>
      <c r="B252" s="16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row>
    <row r="253" spans="1:26" ht="12.75" customHeight="1">
      <c r="A253" s="165"/>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row>
    <row r="254" spans="1:26" ht="12.75" customHeight="1">
      <c r="A254" s="165"/>
      <c r="B254" s="165"/>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row>
    <row r="255" spans="1:26" ht="12.75" customHeight="1">
      <c r="A255" s="165"/>
      <c r="B255" s="16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row>
    <row r="256" spans="1:26" ht="12.75" customHeight="1">
      <c r="A256" s="165"/>
      <c r="B256" s="165"/>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row>
    <row r="257" spans="1:26" ht="12.75" customHeight="1">
      <c r="A257" s="165"/>
      <c r="B257" s="165"/>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row>
    <row r="258" spans="1:26" ht="12.75" customHeight="1">
      <c r="A258" s="165"/>
      <c r="B258" s="16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row>
    <row r="259" spans="1:26" ht="12.75" customHeight="1">
      <c r="A259" s="165"/>
      <c r="B259" s="16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row>
    <row r="260" spans="1:26" ht="12.75" customHeight="1">
      <c r="A260" s="165"/>
      <c r="B260" s="165"/>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row>
    <row r="261" spans="1:26" ht="12.75" customHeight="1">
      <c r="A261" s="165"/>
      <c r="B261" s="16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row>
    <row r="262" spans="1:26" ht="12.75" customHeight="1">
      <c r="A262" s="165"/>
      <c r="B262" s="165"/>
      <c r="C262" s="165"/>
      <c r="D262" s="165"/>
      <c r="E262" s="165"/>
      <c r="F262" s="165"/>
      <c r="G262" s="165"/>
      <c r="H262" s="165"/>
      <c r="I262" s="165"/>
      <c r="J262" s="165"/>
      <c r="K262" s="165"/>
      <c r="L262" s="165"/>
      <c r="M262" s="165"/>
      <c r="N262" s="165"/>
      <c r="O262" s="165"/>
      <c r="P262" s="165"/>
      <c r="Q262" s="165"/>
      <c r="R262" s="165"/>
      <c r="S262" s="165"/>
      <c r="T262" s="165"/>
      <c r="U262" s="165"/>
      <c r="V262" s="165"/>
      <c r="W262" s="165"/>
      <c r="X262" s="165"/>
      <c r="Y262" s="165"/>
      <c r="Z262" s="165"/>
    </row>
    <row r="263" spans="1:26" ht="12.75" customHeight="1">
      <c r="A263" s="165"/>
      <c r="B263" s="165"/>
      <c r="C263" s="165"/>
      <c r="D263" s="165"/>
      <c r="E263" s="165"/>
      <c r="F263" s="165"/>
      <c r="G263" s="165"/>
      <c r="H263" s="165"/>
      <c r="I263" s="165"/>
      <c r="J263" s="165"/>
      <c r="K263" s="165"/>
      <c r="L263" s="165"/>
      <c r="M263" s="165"/>
      <c r="N263" s="165"/>
      <c r="O263" s="165"/>
      <c r="P263" s="165"/>
      <c r="Q263" s="165"/>
      <c r="R263" s="165"/>
      <c r="S263" s="165"/>
      <c r="T263" s="165"/>
      <c r="U263" s="165"/>
      <c r="V263" s="165"/>
      <c r="W263" s="165"/>
      <c r="X263" s="165"/>
      <c r="Y263" s="165"/>
      <c r="Z263" s="165"/>
    </row>
    <row r="264" spans="1:26" ht="12.75" customHeight="1">
      <c r="A264" s="165"/>
      <c r="B264" s="165"/>
      <c r="C264" s="165"/>
      <c r="D264" s="165"/>
      <c r="E264" s="165"/>
      <c r="F264" s="165"/>
      <c r="G264" s="165"/>
      <c r="H264" s="165"/>
      <c r="I264" s="165"/>
      <c r="J264" s="165"/>
      <c r="K264" s="165"/>
      <c r="L264" s="165"/>
      <c r="M264" s="165"/>
      <c r="N264" s="165"/>
      <c r="O264" s="165"/>
      <c r="P264" s="165"/>
      <c r="Q264" s="165"/>
      <c r="R264" s="165"/>
      <c r="S264" s="165"/>
      <c r="T264" s="165"/>
      <c r="U264" s="165"/>
      <c r="V264" s="165"/>
      <c r="W264" s="165"/>
      <c r="X264" s="165"/>
      <c r="Y264" s="165"/>
      <c r="Z264" s="165"/>
    </row>
    <row r="265" spans="1:26" ht="12.75" customHeight="1">
      <c r="A265" s="165"/>
      <c r="B265" s="165"/>
      <c r="C265" s="165"/>
      <c r="D265" s="165"/>
      <c r="E265" s="165"/>
      <c r="F265" s="165"/>
      <c r="G265" s="165"/>
      <c r="H265" s="165"/>
      <c r="I265" s="165"/>
      <c r="J265" s="165"/>
      <c r="K265" s="165"/>
      <c r="L265" s="165"/>
      <c r="M265" s="165"/>
      <c r="N265" s="165"/>
      <c r="O265" s="165"/>
      <c r="P265" s="165"/>
      <c r="Q265" s="165"/>
      <c r="R265" s="165"/>
      <c r="S265" s="165"/>
      <c r="T265" s="165"/>
      <c r="U265" s="165"/>
      <c r="V265" s="165"/>
      <c r="W265" s="165"/>
      <c r="X265" s="165"/>
      <c r="Y265" s="165"/>
      <c r="Z265" s="165"/>
    </row>
    <row r="266" spans="1:26" ht="12.75" customHeight="1">
      <c r="A266" s="165"/>
      <c r="B266" s="165"/>
      <c r="C266" s="165"/>
      <c r="D266" s="165"/>
      <c r="E266" s="165"/>
      <c r="F266" s="165"/>
      <c r="G266" s="165"/>
      <c r="H266" s="165"/>
      <c r="I266" s="165"/>
      <c r="J266" s="165"/>
      <c r="K266" s="165"/>
      <c r="L266" s="165"/>
      <c r="M266" s="165"/>
      <c r="N266" s="165"/>
      <c r="O266" s="165"/>
      <c r="P266" s="165"/>
      <c r="Q266" s="165"/>
      <c r="R266" s="165"/>
      <c r="S266" s="165"/>
      <c r="T266" s="165"/>
      <c r="U266" s="165"/>
      <c r="V266" s="165"/>
      <c r="W266" s="165"/>
      <c r="X266" s="165"/>
      <c r="Y266" s="165"/>
      <c r="Z266" s="165"/>
    </row>
    <row r="267" spans="1:26" ht="12.75" customHeight="1">
      <c r="A267" s="165"/>
      <c r="B267" s="165"/>
      <c r="C267" s="165"/>
      <c r="D267" s="165"/>
      <c r="E267" s="165"/>
      <c r="F267" s="165"/>
      <c r="G267" s="165"/>
      <c r="H267" s="165"/>
      <c r="I267" s="165"/>
      <c r="J267" s="165"/>
      <c r="K267" s="165"/>
      <c r="L267" s="165"/>
      <c r="M267" s="165"/>
      <c r="N267" s="165"/>
      <c r="O267" s="165"/>
      <c r="P267" s="165"/>
      <c r="Q267" s="165"/>
      <c r="R267" s="165"/>
      <c r="S267" s="165"/>
      <c r="T267" s="165"/>
      <c r="U267" s="165"/>
      <c r="V267" s="165"/>
      <c r="W267" s="165"/>
      <c r="X267" s="165"/>
      <c r="Y267" s="165"/>
      <c r="Z267" s="165"/>
    </row>
    <row r="268" spans="1:26" ht="12.75" customHeight="1">
      <c r="A268" s="165"/>
      <c r="B268" s="165"/>
      <c r="C268" s="165"/>
      <c r="D268" s="165"/>
      <c r="E268" s="165"/>
      <c r="F268" s="165"/>
      <c r="G268" s="165"/>
      <c r="H268" s="165"/>
      <c r="I268" s="165"/>
      <c r="J268" s="165"/>
      <c r="K268" s="165"/>
      <c r="L268" s="165"/>
      <c r="M268" s="165"/>
      <c r="N268" s="165"/>
      <c r="O268" s="165"/>
      <c r="P268" s="165"/>
      <c r="Q268" s="165"/>
      <c r="R268" s="165"/>
      <c r="S268" s="165"/>
      <c r="T268" s="165"/>
      <c r="U268" s="165"/>
      <c r="V268" s="165"/>
      <c r="W268" s="165"/>
      <c r="X268" s="165"/>
      <c r="Y268" s="165"/>
      <c r="Z268" s="165"/>
    </row>
    <row r="269" spans="1:26" ht="12.75" customHeight="1">
      <c r="A269" s="165"/>
      <c r="B269" s="165"/>
      <c r="C269" s="165"/>
      <c r="D269" s="165"/>
      <c r="E269" s="165"/>
      <c r="F269" s="165"/>
      <c r="G269" s="165"/>
      <c r="H269" s="165"/>
      <c r="I269" s="165"/>
      <c r="J269" s="165"/>
      <c r="K269" s="165"/>
      <c r="L269" s="165"/>
      <c r="M269" s="165"/>
      <c r="N269" s="165"/>
      <c r="O269" s="165"/>
      <c r="P269" s="165"/>
      <c r="Q269" s="165"/>
      <c r="R269" s="165"/>
      <c r="S269" s="165"/>
      <c r="T269" s="165"/>
      <c r="U269" s="165"/>
      <c r="V269" s="165"/>
      <c r="W269" s="165"/>
      <c r="X269" s="165"/>
      <c r="Y269" s="165"/>
      <c r="Z269" s="165"/>
    </row>
    <row r="270" spans="1:26" ht="12.75" customHeight="1">
      <c r="A270" s="165"/>
      <c r="B270" s="165"/>
      <c r="C270" s="165"/>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5"/>
      <c r="Z270" s="165"/>
    </row>
    <row r="271" spans="1:26" ht="12.75" customHeight="1">
      <c r="A271" s="165"/>
      <c r="B271" s="165"/>
      <c r="C271" s="165"/>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65"/>
      <c r="Z271" s="165"/>
    </row>
    <row r="272" spans="1:26" ht="12.75" customHeight="1">
      <c r="A272" s="165"/>
      <c r="B272" s="165"/>
      <c r="C272" s="165"/>
      <c r="D272" s="165"/>
      <c r="E272" s="165"/>
      <c r="F272" s="165"/>
      <c r="G272" s="165"/>
      <c r="H272" s="165"/>
      <c r="I272" s="165"/>
      <c r="J272" s="165"/>
      <c r="K272" s="165"/>
      <c r="L272" s="165"/>
      <c r="M272" s="165"/>
      <c r="N272" s="165"/>
      <c r="O272" s="165"/>
      <c r="P272" s="165"/>
      <c r="Q272" s="165"/>
      <c r="R272" s="165"/>
      <c r="S272" s="165"/>
      <c r="T272" s="165"/>
      <c r="U272" s="165"/>
      <c r="V272" s="165"/>
      <c r="W272" s="165"/>
      <c r="X272" s="165"/>
      <c r="Y272" s="165"/>
      <c r="Z272" s="165"/>
    </row>
    <row r="273" spans="1:26" ht="12.75" customHeight="1">
      <c r="A273" s="165"/>
      <c r="B273" s="165"/>
      <c r="C273" s="165"/>
      <c r="D273" s="165"/>
      <c r="E273" s="165"/>
      <c r="F273" s="165"/>
      <c r="G273" s="165"/>
      <c r="H273" s="165"/>
      <c r="I273" s="165"/>
      <c r="J273" s="165"/>
      <c r="K273" s="165"/>
      <c r="L273" s="165"/>
      <c r="M273" s="165"/>
      <c r="N273" s="165"/>
      <c r="O273" s="165"/>
      <c r="P273" s="165"/>
      <c r="Q273" s="165"/>
      <c r="R273" s="165"/>
      <c r="S273" s="165"/>
      <c r="T273" s="165"/>
      <c r="U273" s="165"/>
      <c r="V273" s="165"/>
      <c r="W273" s="165"/>
      <c r="X273" s="165"/>
      <c r="Y273" s="165"/>
      <c r="Z273" s="165"/>
    </row>
    <row r="274" spans="1:26" ht="12.75" customHeight="1">
      <c r="A274" s="165"/>
      <c r="B274" s="165"/>
      <c r="C274" s="165"/>
      <c r="D274" s="165"/>
      <c r="E274" s="165"/>
      <c r="F274" s="165"/>
      <c r="G274" s="165"/>
      <c r="H274" s="165"/>
      <c r="I274" s="165"/>
      <c r="J274" s="165"/>
      <c r="K274" s="165"/>
      <c r="L274" s="165"/>
      <c r="M274" s="165"/>
      <c r="N274" s="165"/>
      <c r="O274" s="165"/>
      <c r="P274" s="165"/>
      <c r="Q274" s="165"/>
      <c r="R274" s="165"/>
      <c r="S274" s="165"/>
      <c r="T274" s="165"/>
      <c r="U274" s="165"/>
      <c r="V274" s="165"/>
      <c r="W274" s="165"/>
      <c r="X274" s="165"/>
      <c r="Y274" s="165"/>
      <c r="Z274" s="165"/>
    </row>
    <row r="275" spans="1:26" ht="12.75" customHeight="1">
      <c r="A275" s="165"/>
      <c r="B275" s="165"/>
      <c r="C275" s="165"/>
      <c r="D275" s="165"/>
      <c r="E275" s="165"/>
      <c r="F275" s="165"/>
      <c r="G275" s="165"/>
      <c r="H275" s="165"/>
      <c r="I275" s="165"/>
      <c r="J275" s="165"/>
      <c r="K275" s="165"/>
      <c r="L275" s="165"/>
      <c r="M275" s="165"/>
      <c r="N275" s="165"/>
      <c r="O275" s="165"/>
      <c r="P275" s="165"/>
      <c r="Q275" s="165"/>
      <c r="R275" s="165"/>
      <c r="S275" s="165"/>
      <c r="T275" s="165"/>
      <c r="U275" s="165"/>
      <c r="V275" s="165"/>
      <c r="W275" s="165"/>
      <c r="X275" s="165"/>
      <c r="Y275" s="165"/>
      <c r="Z275" s="165"/>
    </row>
    <row r="276" spans="1:26" ht="12.75" customHeight="1">
      <c r="A276" s="165"/>
      <c r="B276" s="165"/>
      <c r="C276" s="165"/>
      <c r="D276" s="165"/>
      <c r="E276" s="165"/>
      <c r="F276" s="165"/>
      <c r="G276" s="165"/>
      <c r="H276" s="165"/>
      <c r="I276" s="165"/>
      <c r="J276" s="165"/>
      <c r="K276" s="165"/>
      <c r="L276" s="165"/>
      <c r="M276" s="165"/>
      <c r="N276" s="165"/>
      <c r="O276" s="165"/>
      <c r="P276" s="165"/>
      <c r="Q276" s="165"/>
      <c r="R276" s="165"/>
      <c r="S276" s="165"/>
      <c r="T276" s="165"/>
      <c r="U276" s="165"/>
      <c r="V276" s="165"/>
      <c r="W276" s="165"/>
      <c r="X276" s="165"/>
      <c r="Y276" s="165"/>
      <c r="Z276" s="165"/>
    </row>
    <row r="277" spans="1:26" ht="12.75" customHeight="1">
      <c r="A277" s="165"/>
      <c r="B277" s="165"/>
      <c r="C277" s="165"/>
      <c r="D277" s="165"/>
      <c r="E277" s="165"/>
      <c r="F277" s="165"/>
      <c r="G277" s="165"/>
      <c r="H277" s="165"/>
      <c r="I277" s="165"/>
      <c r="J277" s="165"/>
      <c r="K277" s="165"/>
      <c r="L277" s="165"/>
      <c r="M277" s="165"/>
      <c r="N277" s="165"/>
      <c r="O277" s="165"/>
      <c r="P277" s="165"/>
      <c r="Q277" s="165"/>
      <c r="R277" s="165"/>
      <c r="S277" s="165"/>
      <c r="T277" s="165"/>
      <c r="U277" s="165"/>
      <c r="V277" s="165"/>
      <c r="W277" s="165"/>
      <c r="X277" s="165"/>
      <c r="Y277" s="165"/>
      <c r="Z277" s="165"/>
    </row>
    <row r="278" spans="1:26" ht="12.75" customHeight="1">
      <c r="A278" s="165"/>
      <c r="B278" s="165"/>
      <c r="C278" s="165"/>
      <c r="D278" s="165"/>
      <c r="E278" s="165"/>
      <c r="F278" s="165"/>
      <c r="G278" s="165"/>
      <c r="H278" s="165"/>
      <c r="I278" s="165"/>
      <c r="J278" s="165"/>
      <c r="K278" s="165"/>
      <c r="L278" s="165"/>
      <c r="M278" s="165"/>
      <c r="N278" s="165"/>
      <c r="O278" s="165"/>
      <c r="P278" s="165"/>
      <c r="Q278" s="165"/>
      <c r="R278" s="165"/>
      <c r="S278" s="165"/>
      <c r="T278" s="165"/>
      <c r="U278" s="165"/>
      <c r="V278" s="165"/>
      <c r="W278" s="165"/>
      <c r="X278" s="165"/>
      <c r="Y278" s="165"/>
      <c r="Z278" s="165"/>
    </row>
    <row r="279" spans="1:26" ht="12.75" customHeight="1">
      <c r="A279" s="165"/>
      <c r="B279" s="165"/>
      <c r="C279" s="165"/>
      <c r="D279" s="165"/>
      <c r="E279" s="165"/>
      <c r="F279" s="165"/>
      <c r="G279" s="165"/>
      <c r="H279" s="165"/>
      <c r="I279" s="165"/>
      <c r="J279" s="165"/>
      <c r="K279" s="165"/>
      <c r="L279" s="165"/>
      <c r="M279" s="165"/>
      <c r="N279" s="165"/>
      <c r="O279" s="165"/>
      <c r="P279" s="165"/>
      <c r="Q279" s="165"/>
      <c r="R279" s="165"/>
      <c r="S279" s="165"/>
      <c r="T279" s="165"/>
      <c r="U279" s="165"/>
      <c r="V279" s="165"/>
      <c r="W279" s="165"/>
      <c r="X279" s="165"/>
      <c r="Y279" s="165"/>
      <c r="Z279" s="165"/>
    </row>
    <row r="280" spans="1:26" ht="12.75" customHeight="1">
      <c r="A280" s="165"/>
      <c r="B280" s="165"/>
      <c r="C280" s="165"/>
      <c r="D280" s="165"/>
      <c r="E280" s="165"/>
      <c r="F280" s="165"/>
      <c r="G280" s="165"/>
      <c r="H280" s="165"/>
      <c r="I280" s="165"/>
      <c r="J280" s="165"/>
      <c r="K280" s="165"/>
      <c r="L280" s="165"/>
      <c r="M280" s="165"/>
      <c r="N280" s="165"/>
      <c r="O280" s="165"/>
      <c r="P280" s="165"/>
      <c r="Q280" s="165"/>
      <c r="R280" s="165"/>
      <c r="S280" s="165"/>
      <c r="T280" s="165"/>
      <c r="U280" s="165"/>
      <c r="V280" s="165"/>
      <c r="W280" s="165"/>
      <c r="X280" s="165"/>
      <c r="Y280" s="165"/>
      <c r="Z280" s="165"/>
    </row>
    <row r="281" spans="1:26" ht="12.75" customHeight="1">
      <c r="A281" s="165"/>
      <c r="B281" s="165"/>
      <c r="C281" s="165"/>
      <c r="D281" s="165"/>
      <c r="E281" s="165"/>
      <c r="F281" s="165"/>
      <c r="G281" s="165"/>
      <c r="H281" s="165"/>
      <c r="I281" s="165"/>
      <c r="J281" s="165"/>
      <c r="K281" s="165"/>
      <c r="L281" s="165"/>
      <c r="M281" s="165"/>
      <c r="N281" s="165"/>
      <c r="O281" s="165"/>
      <c r="P281" s="165"/>
      <c r="Q281" s="165"/>
      <c r="R281" s="165"/>
      <c r="S281" s="165"/>
      <c r="T281" s="165"/>
      <c r="U281" s="165"/>
      <c r="V281" s="165"/>
      <c r="W281" s="165"/>
      <c r="X281" s="165"/>
      <c r="Y281" s="165"/>
      <c r="Z281" s="165"/>
    </row>
    <row r="282" spans="1:26" ht="12.75" customHeight="1">
      <c r="A282" s="165"/>
      <c r="B282" s="165"/>
      <c r="C282" s="165"/>
      <c r="D282" s="165"/>
      <c r="E282" s="165"/>
      <c r="F282" s="165"/>
      <c r="G282" s="165"/>
      <c r="H282" s="165"/>
      <c r="I282" s="165"/>
      <c r="J282" s="165"/>
      <c r="K282" s="165"/>
      <c r="L282" s="165"/>
      <c r="M282" s="165"/>
      <c r="N282" s="165"/>
      <c r="O282" s="165"/>
      <c r="P282" s="165"/>
      <c r="Q282" s="165"/>
      <c r="R282" s="165"/>
      <c r="S282" s="165"/>
      <c r="T282" s="165"/>
      <c r="U282" s="165"/>
      <c r="V282" s="165"/>
      <c r="W282" s="165"/>
      <c r="X282" s="165"/>
      <c r="Y282" s="165"/>
      <c r="Z282" s="165"/>
    </row>
    <row r="283" spans="1:26" ht="12.75" customHeight="1">
      <c r="A283" s="165"/>
      <c r="B283" s="165"/>
      <c r="C283" s="165"/>
      <c r="D283" s="165"/>
      <c r="E283" s="165"/>
      <c r="F283" s="165"/>
      <c r="G283" s="165"/>
      <c r="H283" s="165"/>
      <c r="I283" s="165"/>
      <c r="J283" s="165"/>
      <c r="K283" s="165"/>
      <c r="L283" s="165"/>
      <c r="M283" s="165"/>
      <c r="N283" s="165"/>
      <c r="O283" s="165"/>
      <c r="P283" s="165"/>
      <c r="Q283" s="165"/>
      <c r="R283" s="165"/>
      <c r="S283" s="165"/>
      <c r="T283" s="165"/>
      <c r="U283" s="165"/>
      <c r="V283" s="165"/>
      <c r="W283" s="165"/>
      <c r="X283" s="165"/>
      <c r="Y283" s="165"/>
      <c r="Z283" s="165"/>
    </row>
    <row r="284" spans="1:26" ht="12.75" customHeight="1">
      <c r="A284" s="165"/>
      <c r="B284" s="165"/>
      <c r="C284" s="165"/>
      <c r="D284" s="165"/>
      <c r="E284" s="165"/>
      <c r="F284" s="165"/>
      <c r="G284" s="165"/>
      <c r="H284" s="165"/>
      <c r="I284" s="165"/>
      <c r="J284" s="165"/>
      <c r="K284" s="165"/>
      <c r="L284" s="165"/>
      <c r="M284" s="165"/>
      <c r="N284" s="165"/>
      <c r="O284" s="165"/>
      <c r="P284" s="165"/>
      <c r="Q284" s="165"/>
      <c r="R284" s="165"/>
      <c r="S284" s="165"/>
      <c r="T284" s="165"/>
      <c r="U284" s="165"/>
      <c r="V284" s="165"/>
      <c r="W284" s="165"/>
      <c r="X284" s="165"/>
      <c r="Y284" s="165"/>
      <c r="Z284" s="165"/>
    </row>
    <row r="285" spans="1:26" ht="12.75" customHeight="1">
      <c r="A285" s="165"/>
      <c r="B285" s="165"/>
      <c r="C285" s="165"/>
      <c r="D285" s="165"/>
      <c r="E285" s="165"/>
      <c r="F285" s="165"/>
      <c r="G285" s="165"/>
      <c r="H285" s="165"/>
      <c r="I285" s="165"/>
      <c r="J285" s="165"/>
      <c r="K285" s="165"/>
      <c r="L285" s="165"/>
      <c r="M285" s="165"/>
      <c r="N285" s="165"/>
      <c r="O285" s="165"/>
      <c r="P285" s="165"/>
      <c r="Q285" s="165"/>
      <c r="R285" s="165"/>
      <c r="S285" s="165"/>
      <c r="T285" s="165"/>
      <c r="U285" s="165"/>
      <c r="V285" s="165"/>
      <c r="W285" s="165"/>
      <c r="X285" s="165"/>
      <c r="Y285" s="165"/>
      <c r="Z285" s="165"/>
    </row>
    <row r="286" spans="1:26" ht="12.75" customHeight="1">
      <c r="A286" s="165"/>
      <c r="B286" s="165"/>
      <c r="C286" s="165"/>
      <c r="D286" s="165"/>
      <c r="E286" s="165"/>
      <c r="F286" s="165"/>
      <c r="G286" s="165"/>
      <c r="H286" s="165"/>
      <c r="I286" s="165"/>
      <c r="J286" s="165"/>
      <c r="K286" s="165"/>
      <c r="L286" s="165"/>
      <c r="M286" s="165"/>
      <c r="N286" s="165"/>
      <c r="O286" s="165"/>
      <c r="P286" s="165"/>
      <c r="Q286" s="165"/>
      <c r="R286" s="165"/>
      <c r="S286" s="165"/>
      <c r="T286" s="165"/>
      <c r="U286" s="165"/>
      <c r="V286" s="165"/>
      <c r="W286" s="165"/>
      <c r="X286" s="165"/>
      <c r="Y286" s="165"/>
      <c r="Z286" s="165"/>
    </row>
    <row r="287" spans="1:26" ht="12.75" customHeight="1">
      <c r="A287" s="165"/>
      <c r="B287" s="165"/>
      <c r="C287" s="165"/>
      <c r="D287" s="165"/>
      <c r="E287" s="165"/>
      <c r="F287" s="165"/>
      <c r="G287" s="165"/>
      <c r="H287" s="165"/>
      <c r="I287" s="165"/>
      <c r="J287" s="165"/>
      <c r="K287" s="165"/>
      <c r="L287" s="165"/>
      <c r="M287" s="165"/>
      <c r="N287" s="165"/>
      <c r="O287" s="165"/>
      <c r="P287" s="165"/>
      <c r="Q287" s="165"/>
      <c r="R287" s="165"/>
      <c r="S287" s="165"/>
      <c r="T287" s="165"/>
      <c r="U287" s="165"/>
      <c r="V287" s="165"/>
      <c r="W287" s="165"/>
      <c r="X287" s="165"/>
      <c r="Y287" s="165"/>
      <c r="Z287" s="165"/>
    </row>
    <row r="288" spans="1:26" ht="12.75" customHeight="1">
      <c r="A288" s="165"/>
      <c r="B288" s="165"/>
      <c r="C288" s="165"/>
      <c r="D288" s="165"/>
      <c r="E288" s="165"/>
      <c r="F288" s="165"/>
      <c r="G288" s="165"/>
      <c r="H288" s="165"/>
      <c r="I288" s="165"/>
      <c r="J288" s="165"/>
      <c r="K288" s="165"/>
      <c r="L288" s="165"/>
      <c r="M288" s="165"/>
      <c r="N288" s="165"/>
      <c r="O288" s="165"/>
      <c r="P288" s="165"/>
      <c r="Q288" s="165"/>
      <c r="R288" s="165"/>
      <c r="S288" s="165"/>
      <c r="T288" s="165"/>
      <c r="U288" s="165"/>
      <c r="V288" s="165"/>
      <c r="W288" s="165"/>
      <c r="X288" s="165"/>
      <c r="Y288" s="165"/>
      <c r="Z288" s="165"/>
    </row>
    <row r="289" spans="1:26" ht="12.75" customHeight="1">
      <c r="A289" s="165"/>
      <c r="B289" s="165"/>
      <c r="C289" s="165"/>
      <c r="D289" s="165"/>
      <c r="E289" s="165"/>
      <c r="F289" s="165"/>
      <c r="G289" s="165"/>
      <c r="H289" s="165"/>
      <c r="I289" s="165"/>
      <c r="J289" s="165"/>
      <c r="K289" s="165"/>
      <c r="L289" s="165"/>
      <c r="M289" s="165"/>
      <c r="N289" s="165"/>
      <c r="O289" s="165"/>
      <c r="P289" s="165"/>
      <c r="Q289" s="165"/>
      <c r="R289" s="165"/>
      <c r="S289" s="165"/>
      <c r="T289" s="165"/>
      <c r="U289" s="165"/>
      <c r="V289" s="165"/>
      <c r="W289" s="165"/>
      <c r="X289" s="165"/>
      <c r="Y289" s="165"/>
      <c r="Z289" s="165"/>
    </row>
    <row r="290" spans="1:26" ht="12.75" customHeight="1">
      <c r="A290" s="165"/>
      <c r="B290" s="165"/>
      <c r="C290" s="165"/>
      <c r="D290" s="165"/>
      <c r="E290" s="165"/>
      <c r="F290" s="165"/>
      <c r="G290" s="165"/>
      <c r="H290" s="165"/>
      <c r="I290" s="165"/>
      <c r="J290" s="165"/>
      <c r="K290" s="165"/>
      <c r="L290" s="165"/>
      <c r="M290" s="165"/>
      <c r="N290" s="165"/>
      <c r="O290" s="165"/>
      <c r="P290" s="165"/>
      <c r="Q290" s="165"/>
      <c r="R290" s="165"/>
      <c r="S290" s="165"/>
      <c r="T290" s="165"/>
      <c r="U290" s="165"/>
      <c r="V290" s="165"/>
      <c r="W290" s="165"/>
      <c r="X290" s="165"/>
      <c r="Y290" s="165"/>
      <c r="Z290" s="165"/>
    </row>
    <row r="291" spans="1:26" ht="12.75" customHeight="1">
      <c r="A291" s="165"/>
      <c r="B291" s="165"/>
      <c r="C291" s="165"/>
      <c r="D291" s="165"/>
      <c r="E291" s="165"/>
      <c r="F291" s="165"/>
      <c r="G291" s="165"/>
      <c r="H291" s="165"/>
      <c r="I291" s="165"/>
      <c r="J291" s="165"/>
      <c r="K291" s="165"/>
      <c r="L291" s="165"/>
      <c r="M291" s="165"/>
      <c r="N291" s="165"/>
      <c r="O291" s="165"/>
      <c r="P291" s="165"/>
      <c r="Q291" s="165"/>
      <c r="R291" s="165"/>
      <c r="S291" s="165"/>
      <c r="T291" s="165"/>
      <c r="U291" s="165"/>
      <c r="V291" s="165"/>
      <c r="W291" s="165"/>
      <c r="X291" s="165"/>
      <c r="Y291" s="165"/>
      <c r="Z291" s="165"/>
    </row>
    <row r="292" spans="1:26" ht="12.75" customHeight="1">
      <c r="A292" s="165"/>
      <c r="B292" s="165"/>
      <c r="C292" s="165"/>
      <c r="D292" s="165"/>
      <c r="E292" s="165"/>
      <c r="F292" s="165"/>
      <c r="G292" s="165"/>
      <c r="H292" s="165"/>
      <c r="I292" s="165"/>
      <c r="J292" s="165"/>
      <c r="K292" s="165"/>
      <c r="L292" s="165"/>
      <c r="M292" s="165"/>
      <c r="N292" s="165"/>
      <c r="O292" s="165"/>
      <c r="P292" s="165"/>
      <c r="Q292" s="165"/>
      <c r="R292" s="165"/>
      <c r="S292" s="165"/>
      <c r="T292" s="165"/>
      <c r="U292" s="165"/>
      <c r="V292" s="165"/>
      <c r="W292" s="165"/>
      <c r="X292" s="165"/>
      <c r="Y292" s="165"/>
      <c r="Z292" s="165"/>
    </row>
    <row r="293" spans="1:26" ht="12.75" customHeight="1">
      <c r="A293" s="165"/>
      <c r="B293" s="165"/>
      <c r="C293" s="165"/>
      <c r="D293" s="165"/>
      <c r="E293" s="165"/>
      <c r="F293" s="165"/>
      <c r="G293" s="165"/>
      <c r="H293" s="165"/>
      <c r="I293" s="165"/>
      <c r="J293" s="165"/>
      <c r="K293" s="165"/>
      <c r="L293" s="165"/>
      <c r="M293" s="165"/>
      <c r="N293" s="165"/>
      <c r="O293" s="165"/>
      <c r="P293" s="165"/>
      <c r="Q293" s="165"/>
      <c r="R293" s="165"/>
      <c r="S293" s="165"/>
      <c r="T293" s="165"/>
      <c r="U293" s="165"/>
      <c r="V293" s="165"/>
      <c r="W293" s="165"/>
      <c r="X293" s="165"/>
      <c r="Y293" s="165"/>
      <c r="Z293" s="165"/>
    </row>
    <row r="294" spans="1:26" ht="12.75" customHeight="1">
      <c r="A294" s="165"/>
      <c r="B294" s="165"/>
      <c r="C294" s="165"/>
      <c r="D294" s="165"/>
      <c r="E294" s="165"/>
      <c r="F294" s="165"/>
      <c r="G294" s="165"/>
      <c r="H294" s="165"/>
      <c r="I294" s="165"/>
      <c r="J294" s="165"/>
      <c r="K294" s="165"/>
      <c r="L294" s="165"/>
      <c r="M294" s="165"/>
      <c r="N294" s="165"/>
      <c r="O294" s="165"/>
      <c r="P294" s="165"/>
      <c r="Q294" s="165"/>
      <c r="R294" s="165"/>
      <c r="S294" s="165"/>
      <c r="T294" s="165"/>
      <c r="U294" s="165"/>
      <c r="V294" s="165"/>
      <c r="W294" s="165"/>
      <c r="X294" s="165"/>
      <c r="Y294" s="165"/>
      <c r="Z294" s="165"/>
    </row>
    <row r="295" spans="1:26" ht="12.75" customHeight="1">
      <c r="A295" s="165"/>
      <c r="B295" s="165"/>
      <c r="C295" s="165"/>
      <c r="D295" s="165"/>
      <c r="E295" s="165"/>
      <c r="F295" s="165"/>
      <c r="G295" s="165"/>
      <c r="H295" s="165"/>
      <c r="I295" s="165"/>
      <c r="J295" s="165"/>
      <c r="K295" s="165"/>
      <c r="L295" s="165"/>
      <c r="M295" s="165"/>
      <c r="N295" s="165"/>
      <c r="O295" s="165"/>
      <c r="P295" s="165"/>
      <c r="Q295" s="165"/>
      <c r="R295" s="165"/>
      <c r="S295" s="165"/>
      <c r="T295" s="165"/>
      <c r="U295" s="165"/>
      <c r="V295" s="165"/>
      <c r="W295" s="165"/>
      <c r="X295" s="165"/>
      <c r="Y295" s="165"/>
      <c r="Z295" s="165"/>
    </row>
    <row r="296" spans="1:26" ht="12.75" customHeight="1">
      <c r="A296" s="165"/>
      <c r="B296" s="165"/>
      <c r="C296" s="165"/>
      <c r="D296" s="165"/>
      <c r="E296" s="165"/>
      <c r="F296" s="165"/>
      <c r="G296" s="165"/>
      <c r="H296" s="165"/>
      <c r="I296" s="165"/>
      <c r="J296" s="165"/>
      <c r="K296" s="165"/>
      <c r="L296" s="165"/>
      <c r="M296" s="165"/>
      <c r="N296" s="165"/>
      <c r="O296" s="165"/>
      <c r="P296" s="165"/>
      <c r="Q296" s="165"/>
      <c r="R296" s="165"/>
      <c r="S296" s="165"/>
      <c r="T296" s="165"/>
      <c r="U296" s="165"/>
      <c r="V296" s="165"/>
      <c r="W296" s="165"/>
      <c r="X296" s="165"/>
      <c r="Y296" s="165"/>
      <c r="Z296" s="165"/>
    </row>
    <row r="297" spans="1:26" ht="12.75" customHeight="1">
      <c r="A297" s="165"/>
      <c r="B297" s="165"/>
      <c r="C297" s="165"/>
      <c r="D297" s="165"/>
      <c r="E297" s="165"/>
      <c r="F297" s="165"/>
      <c r="G297" s="165"/>
      <c r="H297" s="165"/>
      <c r="I297" s="165"/>
      <c r="J297" s="165"/>
      <c r="K297" s="165"/>
      <c r="L297" s="165"/>
      <c r="M297" s="165"/>
      <c r="N297" s="165"/>
      <c r="O297" s="165"/>
      <c r="P297" s="165"/>
      <c r="Q297" s="165"/>
      <c r="R297" s="165"/>
      <c r="S297" s="165"/>
      <c r="T297" s="165"/>
      <c r="U297" s="165"/>
      <c r="V297" s="165"/>
      <c r="W297" s="165"/>
      <c r="X297" s="165"/>
      <c r="Y297" s="165"/>
      <c r="Z297" s="165"/>
    </row>
    <row r="298" spans="1:26" ht="12.75" customHeight="1">
      <c r="A298" s="165"/>
      <c r="B298" s="165"/>
      <c r="C298" s="165"/>
      <c r="D298" s="165"/>
      <c r="E298" s="165"/>
      <c r="F298" s="165"/>
      <c r="G298" s="165"/>
      <c r="H298" s="165"/>
      <c r="I298" s="165"/>
      <c r="J298" s="165"/>
      <c r="K298" s="165"/>
      <c r="L298" s="165"/>
      <c r="M298" s="165"/>
      <c r="N298" s="165"/>
      <c r="O298" s="165"/>
      <c r="P298" s="165"/>
      <c r="Q298" s="165"/>
      <c r="R298" s="165"/>
      <c r="S298" s="165"/>
      <c r="T298" s="165"/>
      <c r="U298" s="165"/>
      <c r="V298" s="165"/>
      <c r="W298" s="165"/>
      <c r="X298" s="165"/>
      <c r="Y298" s="165"/>
      <c r="Z298" s="165"/>
    </row>
    <row r="299" spans="1:26" ht="12.75" customHeight="1">
      <c r="A299" s="165"/>
      <c r="B299" s="165"/>
      <c r="C299" s="165"/>
      <c r="D299" s="165"/>
      <c r="E299" s="165"/>
      <c r="F299" s="165"/>
      <c r="G299" s="165"/>
      <c r="H299" s="165"/>
      <c r="I299" s="165"/>
      <c r="J299" s="165"/>
      <c r="K299" s="165"/>
      <c r="L299" s="165"/>
      <c r="M299" s="165"/>
      <c r="N299" s="165"/>
      <c r="O299" s="165"/>
      <c r="P299" s="165"/>
      <c r="Q299" s="165"/>
      <c r="R299" s="165"/>
      <c r="S299" s="165"/>
      <c r="T299" s="165"/>
      <c r="U299" s="165"/>
      <c r="V299" s="165"/>
      <c r="W299" s="165"/>
      <c r="X299" s="165"/>
      <c r="Y299" s="165"/>
      <c r="Z299" s="165"/>
    </row>
    <row r="300" spans="1:26" ht="12.75" customHeight="1">
      <c r="A300" s="165"/>
      <c r="B300" s="165"/>
      <c r="C300" s="165"/>
      <c r="D300" s="165"/>
      <c r="E300" s="165"/>
      <c r="F300" s="165"/>
      <c r="G300" s="165"/>
      <c r="H300" s="165"/>
      <c r="I300" s="165"/>
      <c r="J300" s="165"/>
      <c r="K300" s="165"/>
      <c r="L300" s="165"/>
      <c r="M300" s="165"/>
      <c r="N300" s="165"/>
      <c r="O300" s="165"/>
      <c r="P300" s="165"/>
      <c r="Q300" s="165"/>
      <c r="R300" s="165"/>
      <c r="S300" s="165"/>
      <c r="T300" s="165"/>
      <c r="U300" s="165"/>
      <c r="V300" s="165"/>
      <c r="W300" s="165"/>
      <c r="X300" s="165"/>
      <c r="Y300" s="165"/>
      <c r="Z300" s="165"/>
    </row>
    <row r="301" spans="1:26" ht="12.75" customHeight="1">
      <c r="A301" s="165"/>
      <c r="B301" s="165"/>
      <c r="C301" s="165"/>
      <c r="D301" s="165"/>
      <c r="E301" s="165"/>
      <c r="F301" s="165"/>
      <c r="G301" s="165"/>
      <c r="H301" s="165"/>
      <c r="I301" s="165"/>
      <c r="J301" s="165"/>
      <c r="K301" s="165"/>
      <c r="L301" s="165"/>
      <c r="M301" s="165"/>
      <c r="N301" s="165"/>
      <c r="O301" s="165"/>
      <c r="P301" s="165"/>
      <c r="Q301" s="165"/>
      <c r="R301" s="165"/>
      <c r="S301" s="165"/>
      <c r="T301" s="165"/>
      <c r="U301" s="165"/>
      <c r="V301" s="165"/>
      <c r="W301" s="165"/>
      <c r="X301" s="165"/>
      <c r="Y301" s="165"/>
      <c r="Z301" s="165"/>
    </row>
    <row r="302" spans="1:26" ht="12.75" customHeight="1">
      <c r="A302" s="165"/>
      <c r="B302" s="165"/>
      <c r="C302" s="165"/>
      <c r="D302" s="165"/>
      <c r="E302" s="165"/>
      <c r="F302" s="165"/>
      <c r="G302" s="165"/>
      <c r="H302" s="165"/>
      <c r="I302" s="165"/>
      <c r="J302" s="165"/>
      <c r="K302" s="165"/>
      <c r="L302" s="165"/>
      <c r="M302" s="165"/>
      <c r="N302" s="165"/>
      <c r="O302" s="165"/>
      <c r="P302" s="165"/>
      <c r="Q302" s="165"/>
      <c r="R302" s="165"/>
      <c r="S302" s="165"/>
      <c r="T302" s="165"/>
      <c r="U302" s="165"/>
      <c r="V302" s="165"/>
      <c r="W302" s="165"/>
      <c r="X302" s="165"/>
      <c r="Y302" s="165"/>
      <c r="Z302" s="165"/>
    </row>
    <row r="303" spans="1:26" ht="12.75" customHeight="1">
      <c r="A303" s="165"/>
      <c r="B303" s="165"/>
      <c r="C303" s="165"/>
      <c r="D303" s="165"/>
      <c r="E303" s="165"/>
      <c r="F303" s="165"/>
      <c r="G303" s="165"/>
      <c r="H303" s="165"/>
      <c r="I303" s="165"/>
      <c r="J303" s="165"/>
      <c r="K303" s="165"/>
      <c r="L303" s="165"/>
      <c r="M303" s="165"/>
      <c r="N303" s="165"/>
      <c r="O303" s="165"/>
      <c r="P303" s="165"/>
      <c r="Q303" s="165"/>
      <c r="R303" s="165"/>
      <c r="S303" s="165"/>
      <c r="T303" s="165"/>
      <c r="U303" s="165"/>
      <c r="V303" s="165"/>
      <c r="W303" s="165"/>
      <c r="X303" s="165"/>
      <c r="Y303" s="165"/>
      <c r="Z303" s="165"/>
    </row>
    <row r="304" spans="1:26" ht="12.75" customHeight="1">
      <c r="A304" s="165"/>
      <c r="B304" s="165"/>
      <c r="C304" s="165"/>
      <c r="D304" s="165"/>
      <c r="E304" s="165"/>
      <c r="F304" s="165"/>
      <c r="G304" s="165"/>
      <c r="H304" s="165"/>
      <c r="I304" s="165"/>
      <c r="J304" s="165"/>
      <c r="K304" s="165"/>
      <c r="L304" s="165"/>
      <c r="M304" s="165"/>
      <c r="N304" s="165"/>
      <c r="O304" s="165"/>
      <c r="P304" s="165"/>
      <c r="Q304" s="165"/>
      <c r="R304" s="165"/>
      <c r="S304" s="165"/>
      <c r="T304" s="165"/>
      <c r="U304" s="165"/>
      <c r="V304" s="165"/>
      <c r="W304" s="165"/>
      <c r="X304" s="165"/>
      <c r="Y304" s="165"/>
      <c r="Z304" s="165"/>
    </row>
    <row r="305" spans="1:26" ht="12.75" customHeight="1">
      <c r="A305" s="165"/>
      <c r="B305" s="165"/>
      <c r="C305" s="165"/>
      <c r="D305" s="165"/>
      <c r="E305" s="165"/>
      <c r="F305" s="165"/>
      <c r="G305" s="165"/>
      <c r="H305" s="165"/>
      <c r="I305" s="165"/>
      <c r="J305" s="165"/>
      <c r="K305" s="165"/>
      <c r="L305" s="165"/>
      <c r="M305" s="165"/>
      <c r="N305" s="165"/>
      <c r="O305" s="165"/>
      <c r="P305" s="165"/>
      <c r="Q305" s="165"/>
      <c r="R305" s="165"/>
      <c r="S305" s="165"/>
      <c r="T305" s="165"/>
      <c r="U305" s="165"/>
      <c r="V305" s="165"/>
      <c r="W305" s="165"/>
      <c r="X305" s="165"/>
      <c r="Y305" s="165"/>
      <c r="Z305" s="165"/>
    </row>
    <row r="306" spans="1:26" ht="12.75" customHeight="1">
      <c r="A306" s="165"/>
      <c r="B306" s="165"/>
      <c r="C306" s="165"/>
      <c r="D306" s="165"/>
      <c r="E306" s="165"/>
      <c r="F306" s="165"/>
      <c r="G306" s="165"/>
      <c r="H306" s="165"/>
      <c r="I306" s="165"/>
      <c r="J306" s="165"/>
      <c r="K306" s="165"/>
      <c r="L306" s="165"/>
      <c r="M306" s="165"/>
      <c r="N306" s="165"/>
      <c r="O306" s="165"/>
      <c r="P306" s="165"/>
      <c r="Q306" s="165"/>
      <c r="R306" s="165"/>
      <c r="S306" s="165"/>
      <c r="T306" s="165"/>
      <c r="U306" s="165"/>
      <c r="V306" s="165"/>
      <c r="W306" s="165"/>
      <c r="X306" s="165"/>
      <c r="Y306" s="165"/>
      <c r="Z306" s="165"/>
    </row>
    <row r="307" spans="1:26" ht="12.75" customHeight="1">
      <c r="A307" s="165"/>
      <c r="B307" s="165"/>
      <c r="C307" s="165"/>
      <c r="D307" s="165"/>
      <c r="E307" s="165"/>
      <c r="F307" s="165"/>
      <c r="G307" s="165"/>
      <c r="H307" s="165"/>
      <c r="I307" s="165"/>
      <c r="J307" s="165"/>
      <c r="K307" s="165"/>
      <c r="L307" s="165"/>
      <c r="M307" s="165"/>
      <c r="N307" s="165"/>
      <c r="O307" s="165"/>
      <c r="P307" s="165"/>
      <c r="Q307" s="165"/>
      <c r="R307" s="165"/>
      <c r="S307" s="165"/>
      <c r="T307" s="165"/>
      <c r="U307" s="165"/>
      <c r="V307" s="165"/>
      <c r="W307" s="165"/>
      <c r="X307" s="165"/>
      <c r="Y307" s="165"/>
      <c r="Z307" s="165"/>
    </row>
    <row r="308" spans="1:26" ht="12.75" customHeight="1">
      <c r="A308" s="165"/>
      <c r="B308" s="165"/>
      <c r="C308" s="165"/>
      <c r="D308" s="165"/>
      <c r="E308" s="165"/>
      <c r="F308" s="165"/>
      <c r="G308" s="165"/>
      <c r="H308" s="165"/>
      <c r="I308" s="165"/>
      <c r="J308" s="165"/>
      <c r="K308" s="165"/>
      <c r="L308" s="165"/>
      <c r="M308" s="165"/>
      <c r="N308" s="165"/>
      <c r="O308" s="165"/>
      <c r="P308" s="165"/>
      <c r="Q308" s="165"/>
      <c r="R308" s="165"/>
      <c r="S308" s="165"/>
      <c r="T308" s="165"/>
      <c r="U308" s="165"/>
      <c r="V308" s="165"/>
      <c r="W308" s="165"/>
      <c r="X308" s="165"/>
      <c r="Y308" s="165"/>
      <c r="Z308" s="165"/>
    </row>
    <row r="309" spans="1:26" ht="12.75" customHeight="1">
      <c r="A309" s="165"/>
      <c r="B309" s="165"/>
      <c r="C309" s="165"/>
      <c r="D309" s="165"/>
      <c r="E309" s="165"/>
      <c r="F309" s="165"/>
      <c r="G309" s="165"/>
      <c r="H309" s="165"/>
      <c r="I309" s="165"/>
      <c r="J309" s="165"/>
      <c r="K309" s="165"/>
      <c r="L309" s="165"/>
      <c r="M309" s="165"/>
      <c r="N309" s="165"/>
      <c r="O309" s="165"/>
      <c r="P309" s="165"/>
      <c r="Q309" s="165"/>
      <c r="R309" s="165"/>
      <c r="S309" s="165"/>
      <c r="T309" s="165"/>
      <c r="U309" s="165"/>
      <c r="V309" s="165"/>
      <c r="W309" s="165"/>
      <c r="X309" s="165"/>
      <c r="Y309" s="165"/>
      <c r="Z309" s="165"/>
    </row>
    <row r="310" spans="1:26" ht="12.75" customHeight="1">
      <c r="A310" s="165"/>
      <c r="B310" s="165"/>
      <c r="C310" s="165"/>
      <c r="D310" s="165"/>
      <c r="E310" s="165"/>
      <c r="F310" s="165"/>
      <c r="G310" s="165"/>
      <c r="H310" s="165"/>
      <c r="I310" s="165"/>
      <c r="J310" s="165"/>
      <c r="K310" s="165"/>
      <c r="L310" s="165"/>
      <c r="M310" s="165"/>
      <c r="N310" s="165"/>
      <c r="O310" s="165"/>
      <c r="P310" s="165"/>
      <c r="Q310" s="165"/>
      <c r="R310" s="165"/>
      <c r="S310" s="165"/>
      <c r="T310" s="165"/>
      <c r="U310" s="165"/>
      <c r="V310" s="165"/>
      <c r="W310" s="165"/>
      <c r="X310" s="165"/>
      <c r="Y310" s="165"/>
      <c r="Z310" s="165"/>
    </row>
    <row r="311" spans="1:26" ht="12.75" customHeight="1">
      <c r="A311" s="165"/>
      <c r="B311" s="165"/>
      <c r="C311" s="165"/>
      <c r="D311" s="165"/>
      <c r="E311" s="165"/>
      <c r="F311" s="165"/>
      <c r="G311" s="165"/>
      <c r="H311" s="165"/>
      <c r="I311" s="165"/>
      <c r="J311" s="165"/>
      <c r="K311" s="165"/>
      <c r="L311" s="165"/>
      <c r="M311" s="165"/>
      <c r="N311" s="165"/>
      <c r="O311" s="165"/>
      <c r="P311" s="165"/>
      <c r="Q311" s="165"/>
      <c r="R311" s="165"/>
      <c r="S311" s="165"/>
      <c r="T311" s="165"/>
      <c r="U311" s="165"/>
      <c r="V311" s="165"/>
      <c r="W311" s="165"/>
      <c r="X311" s="165"/>
      <c r="Y311" s="165"/>
      <c r="Z311" s="165"/>
    </row>
    <row r="312" spans="1:26" ht="12.75" customHeight="1">
      <c r="A312" s="165"/>
      <c r="B312" s="165"/>
      <c r="C312" s="165"/>
      <c r="D312" s="165"/>
      <c r="E312" s="165"/>
      <c r="F312" s="165"/>
      <c r="G312" s="165"/>
      <c r="H312" s="165"/>
      <c r="I312" s="165"/>
      <c r="J312" s="165"/>
      <c r="K312" s="165"/>
      <c r="L312" s="165"/>
      <c r="M312" s="165"/>
      <c r="N312" s="165"/>
      <c r="O312" s="165"/>
      <c r="P312" s="165"/>
      <c r="Q312" s="165"/>
      <c r="R312" s="165"/>
      <c r="S312" s="165"/>
      <c r="T312" s="165"/>
      <c r="U312" s="165"/>
      <c r="V312" s="165"/>
      <c r="W312" s="165"/>
      <c r="X312" s="165"/>
      <c r="Y312" s="165"/>
      <c r="Z312" s="165"/>
    </row>
    <row r="313" spans="1:26" ht="12.75" customHeight="1">
      <c r="A313" s="165"/>
      <c r="B313" s="165"/>
      <c r="C313" s="165"/>
      <c r="D313" s="165"/>
      <c r="E313" s="165"/>
      <c r="F313" s="165"/>
      <c r="G313" s="165"/>
      <c r="H313" s="165"/>
      <c r="I313" s="165"/>
      <c r="J313" s="165"/>
      <c r="K313" s="165"/>
      <c r="L313" s="165"/>
      <c r="M313" s="165"/>
      <c r="N313" s="165"/>
      <c r="O313" s="165"/>
      <c r="P313" s="165"/>
      <c r="Q313" s="165"/>
      <c r="R313" s="165"/>
      <c r="S313" s="165"/>
      <c r="T313" s="165"/>
      <c r="U313" s="165"/>
      <c r="V313" s="165"/>
      <c r="W313" s="165"/>
      <c r="X313" s="165"/>
      <c r="Y313" s="165"/>
      <c r="Z313" s="165"/>
    </row>
    <row r="314" spans="1:26" ht="12.75" customHeight="1">
      <c r="A314" s="165"/>
      <c r="B314" s="165"/>
      <c r="C314" s="165"/>
      <c r="D314" s="165"/>
      <c r="E314" s="165"/>
      <c r="F314" s="165"/>
      <c r="G314" s="165"/>
      <c r="H314" s="165"/>
      <c r="I314" s="165"/>
      <c r="J314" s="165"/>
      <c r="K314" s="165"/>
      <c r="L314" s="165"/>
      <c r="M314" s="165"/>
      <c r="N314" s="165"/>
      <c r="O314" s="165"/>
      <c r="P314" s="165"/>
      <c r="Q314" s="165"/>
      <c r="R314" s="165"/>
      <c r="S314" s="165"/>
      <c r="T314" s="165"/>
      <c r="U314" s="165"/>
      <c r="V314" s="165"/>
      <c r="W314" s="165"/>
      <c r="X314" s="165"/>
      <c r="Y314" s="165"/>
      <c r="Z314" s="165"/>
    </row>
    <row r="315" spans="1:26" ht="12.75" customHeight="1">
      <c r="A315" s="165"/>
      <c r="B315" s="165"/>
      <c r="C315" s="165"/>
      <c r="D315" s="165"/>
      <c r="E315" s="165"/>
      <c r="F315" s="165"/>
      <c r="G315" s="165"/>
      <c r="H315" s="165"/>
      <c r="I315" s="165"/>
      <c r="J315" s="165"/>
      <c r="K315" s="165"/>
      <c r="L315" s="165"/>
      <c r="M315" s="165"/>
      <c r="N315" s="165"/>
      <c r="O315" s="165"/>
      <c r="P315" s="165"/>
      <c r="Q315" s="165"/>
      <c r="R315" s="165"/>
      <c r="S315" s="165"/>
      <c r="T315" s="165"/>
      <c r="U315" s="165"/>
      <c r="V315" s="165"/>
      <c r="W315" s="165"/>
      <c r="X315" s="165"/>
      <c r="Y315" s="165"/>
      <c r="Z315" s="165"/>
    </row>
    <row r="316" spans="1:26" ht="12.75" customHeight="1">
      <c r="A316" s="165"/>
      <c r="B316" s="165"/>
      <c r="C316" s="165"/>
      <c r="D316" s="165"/>
      <c r="E316" s="165"/>
      <c r="F316" s="165"/>
      <c r="G316" s="165"/>
      <c r="H316" s="165"/>
      <c r="I316" s="165"/>
      <c r="J316" s="165"/>
      <c r="K316" s="165"/>
      <c r="L316" s="165"/>
      <c r="M316" s="165"/>
      <c r="N316" s="165"/>
      <c r="O316" s="165"/>
      <c r="P316" s="165"/>
      <c r="Q316" s="165"/>
      <c r="R316" s="165"/>
      <c r="S316" s="165"/>
      <c r="T316" s="165"/>
      <c r="U316" s="165"/>
      <c r="V316" s="165"/>
      <c r="W316" s="165"/>
      <c r="X316" s="165"/>
      <c r="Y316" s="165"/>
      <c r="Z316" s="165"/>
    </row>
    <row r="317" spans="1:26" ht="12.75" customHeight="1">
      <c r="A317" s="165"/>
      <c r="B317" s="165"/>
      <c r="C317" s="165"/>
      <c r="D317" s="165"/>
      <c r="E317" s="165"/>
      <c r="F317" s="165"/>
      <c r="G317" s="165"/>
      <c r="H317" s="165"/>
      <c r="I317" s="165"/>
      <c r="J317" s="165"/>
      <c r="K317" s="165"/>
      <c r="L317" s="165"/>
      <c r="M317" s="165"/>
      <c r="N317" s="165"/>
      <c r="O317" s="165"/>
      <c r="P317" s="165"/>
      <c r="Q317" s="165"/>
      <c r="R317" s="165"/>
      <c r="S317" s="165"/>
      <c r="T317" s="165"/>
      <c r="U317" s="165"/>
      <c r="V317" s="165"/>
      <c r="W317" s="165"/>
      <c r="X317" s="165"/>
      <c r="Y317" s="165"/>
      <c r="Z317" s="165"/>
    </row>
    <row r="318" spans="1:26" ht="12.75" customHeight="1">
      <c r="A318" s="165"/>
      <c r="B318" s="165"/>
      <c r="C318" s="165"/>
      <c r="D318" s="165"/>
      <c r="E318" s="165"/>
      <c r="F318" s="165"/>
      <c r="G318" s="165"/>
      <c r="H318" s="165"/>
      <c r="I318" s="165"/>
      <c r="J318" s="165"/>
      <c r="K318" s="165"/>
      <c r="L318" s="165"/>
      <c r="M318" s="165"/>
      <c r="N318" s="165"/>
      <c r="O318" s="165"/>
      <c r="P318" s="165"/>
      <c r="Q318" s="165"/>
      <c r="R318" s="165"/>
      <c r="S318" s="165"/>
      <c r="T318" s="165"/>
      <c r="U318" s="165"/>
      <c r="V318" s="165"/>
      <c r="W318" s="165"/>
      <c r="X318" s="165"/>
      <c r="Y318" s="165"/>
      <c r="Z318" s="165"/>
    </row>
    <row r="319" spans="1:26" ht="12.75" customHeight="1">
      <c r="A319" s="165"/>
      <c r="B319" s="165"/>
      <c r="C319" s="165"/>
      <c r="D319" s="165"/>
      <c r="E319" s="165"/>
      <c r="F319" s="165"/>
      <c r="G319" s="165"/>
      <c r="H319" s="165"/>
      <c r="I319" s="165"/>
      <c r="J319" s="165"/>
      <c r="K319" s="165"/>
      <c r="L319" s="165"/>
      <c r="M319" s="165"/>
      <c r="N319" s="165"/>
      <c r="O319" s="165"/>
      <c r="P319" s="165"/>
      <c r="Q319" s="165"/>
      <c r="R319" s="165"/>
      <c r="S319" s="165"/>
      <c r="T319" s="165"/>
      <c r="U319" s="165"/>
      <c r="V319" s="165"/>
      <c r="W319" s="165"/>
      <c r="X319" s="165"/>
      <c r="Y319" s="165"/>
      <c r="Z319" s="165"/>
    </row>
    <row r="320" spans="1:26" ht="12.75" customHeight="1">
      <c r="A320" s="165"/>
      <c r="B320" s="165"/>
      <c r="C320" s="165"/>
      <c r="D320" s="165"/>
      <c r="E320" s="165"/>
      <c r="F320" s="165"/>
      <c r="G320" s="165"/>
      <c r="H320" s="165"/>
      <c r="I320" s="165"/>
      <c r="J320" s="165"/>
      <c r="K320" s="165"/>
      <c r="L320" s="165"/>
      <c r="M320" s="165"/>
      <c r="N320" s="165"/>
      <c r="O320" s="165"/>
      <c r="P320" s="165"/>
      <c r="Q320" s="165"/>
      <c r="R320" s="165"/>
      <c r="S320" s="165"/>
      <c r="T320" s="165"/>
      <c r="U320" s="165"/>
      <c r="V320" s="165"/>
      <c r="W320" s="165"/>
      <c r="X320" s="165"/>
      <c r="Y320" s="165"/>
      <c r="Z320" s="165"/>
    </row>
    <row r="321" spans="1:26" ht="12.75" customHeight="1">
      <c r="A321" s="165"/>
      <c r="B321" s="165"/>
      <c r="C321" s="165"/>
      <c r="D321" s="165"/>
      <c r="E321" s="165"/>
      <c r="F321" s="165"/>
      <c r="G321" s="165"/>
      <c r="H321" s="165"/>
      <c r="I321" s="165"/>
      <c r="J321" s="165"/>
      <c r="K321" s="165"/>
      <c r="L321" s="165"/>
      <c r="M321" s="165"/>
      <c r="N321" s="165"/>
      <c r="O321" s="165"/>
      <c r="P321" s="165"/>
      <c r="Q321" s="165"/>
      <c r="R321" s="165"/>
      <c r="S321" s="165"/>
      <c r="T321" s="165"/>
      <c r="U321" s="165"/>
      <c r="V321" s="165"/>
      <c r="W321" s="165"/>
      <c r="X321" s="165"/>
      <c r="Y321" s="165"/>
      <c r="Z321" s="165"/>
    </row>
    <row r="322" spans="1:26" ht="12.75" customHeight="1">
      <c r="A322" s="165"/>
      <c r="B322" s="165"/>
      <c r="C322" s="165"/>
      <c r="D322" s="165"/>
      <c r="E322" s="165"/>
      <c r="F322" s="165"/>
      <c r="G322" s="165"/>
      <c r="H322" s="165"/>
      <c r="I322" s="165"/>
      <c r="J322" s="165"/>
      <c r="K322" s="165"/>
      <c r="L322" s="165"/>
      <c r="M322" s="165"/>
      <c r="N322" s="165"/>
      <c r="O322" s="165"/>
      <c r="P322" s="165"/>
      <c r="Q322" s="165"/>
      <c r="R322" s="165"/>
      <c r="S322" s="165"/>
      <c r="T322" s="165"/>
      <c r="U322" s="165"/>
      <c r="V322" s="165"/>
      <c r="W322" s="165"/>
      <c r="X322" s="165"/>
      <c r="Y322" s="165"/>
      <c r="Z322" s="165"/>
    </row>
    <row r="323" spans="1:26" ht="12.75" customHeight="1">
      <c r="A323" s="165"/>
      <c r="B323" s="165"/>
      <c r="C323" s="165"/>
      <c r="D323" s="165"/>
      <c r="E323" s="165"/>
      <c r="F323" s="165"/>
      <c r="G323" s="165"/>
      <c r="H323" s="165"/>
      <c r="I323" s="165"/>
      <c r="J323" s="165"/>
      <c r="K323" s="165"/>
      <c r="L323" s="165"/>
      <c r="M323" s="165"/>
      <c r="N323" s="165"/>
      <c r="O323" s="165"/>
      <c r="P323" s="165"/>
      <c r="Q323" s="165"/>
      <c r="R323" s="165"/>
      <c r="S323" s="165"/>
      <c r="T323" s="165"/>
      <c r="U323" s="165"/>
      <c r="V323" s="165"/>
      <c r="W323" s="165"/>
      <c r="X323" s="165"/>
      <c r="Y323" s="165"/>
      <c r="Z323" s="165"/>
    </row>
    <row r="324" spans="1:26" ht="12.75" customHeight="1">
      <c r="A324" s="165"/>
      <c r="B324" s="165"/>
      <c r="C324" s="165"/>
      <c r="D324" s="165"/>
      <c r="E324" s="165"/>
      <c r="F324" s="165"/>
      <c r="G324" s="165"/>
      <c r="H324" s="165"/>
      <c r="I324" s="165"/>
      <c r="J324" s="165"/>
      <c r="K324" s="165"/>
      <c r="L324" s="165"/>
      <c r="M324" s="165"/>
      <c r="N324" s="165"/>
      <c r="O324" s="165"/>
      <c r="P324" s="165"/>
      <c r="Q324" s="165"/>
      <c r="R324" s="165"/>
      <c r="S324" s="165"/>
      <c r="T324" s="165"/>
      <c r="U324" s="165"/>
      <c r="V324" s="165"/>
      <c r="W324" s="165"/>
      <c r="X324" s="165"/>
      <c r="Y324" s="165"/>
      <c r="Z324" s="165"/>
    </row>
    <row r="325" spans="1:26" ht="12.75" customHeight="1">
      <c r="A325" s="165"/>
      <c r="B325" s="165"/>
      <c r="C325" s="165"/>
      <c r="D325" s="165"/>
      <c r="E325" s="165"/>
      <c r="F325" s="165"/>
      <c r="G325" s="165"/>
      <c r="H325" s="165"/>
      <c r="I325" s="165"/>
      <c r="J325" s="165"/>
      <c r="K325" s="165"/>
      <c r="L325" s="165"/>
      <c r="M325" s="165"/>
      <c r="N325" s="165"/>
      <c r="O325" s="165"/>
      <c r="P325" s="165"/>
      <c r="Q325" s="165"/>
      <c r="R325" s="165"/>
      <c r="S325" s="165"/>
      <c r="T325" s="165"/>
      <c r="U325" s="165"/>
      <c r="V325" s="165"/>
      <c r="W325" s="165"/>
      <c r="X325" s="165"/>
      <c r="Y325" s="165"/>
      <c r="Z325" s="165"/>
    </row>
    <row r="326" spans="1:26" ht="12.75" customHeight="1">
      <c r="A326" s="165"/>
      <c r="B326" s="165"/>
      <c r="C326" s="165"/>
      <c r="D326" s="165"/>
      <c r="E326" s="165"/>
      <c r="F326" s="165"/>
      <c r="G326" s="165"/>
      <c r="H326" s="165"/>
      <c r="I326" s="165"/>
      <c r="J326" s="165"/>
      <c r="K326" s="165"/>
      <c r="L326" s="165"/>
      <c r="M326" s="165"/>
      <c r="N326" s="165"/>
      <c r="O326" s="165"/>
      <c r="P326" s="165"/>
      <c r="Q326" s="165"/>
      <c r="R326" s="165"/>
      <c r="S326" s="165"/>
      <c r="T326" s="165"/>
      <c r="U326" s="165"/>
      <c r="V326" s="165"/>
      <c r="W326" s="165"/>
      <c r="X326" s="165"/>
      <c r="Y326" s="165"/>
      <c r="Z326" s="165"/>
    </row>
    <row r="327" spans="1:26" ht="12.75" customHeight="1">
      <c r="A327" s="165"/>
      <c r="B327" s="165"/>
      <c r="C327" s="165"/>
      <c r="D327" s="165"/>
      <c r="E327" s="165"/>
      <c r="F327" s="165"/>
      <c r="G327" s="165"/>
      <c r="H327" s="165"/>
      <c r="I327" s="165"/>
      <c r="J327" s="165"/>
      <c r="K327" s="165"/>
      <c r="L327" s="165"/>
      <c r="M327" s="165"/>
      <c r="N327" s="165"/>
      <c r="O327" s="165"/>
      <c r="P327" s="165"/>
      <c r="Q327" s="165"/>
      <c r="R327" s="165"/>
      <c r="S327" s="165"/>
      <c r="T327" s="165"/>
      <c r="U327" s="165"/>
      <c r="V327" s="165"/>
      <c r="W327" s="165"/>
      <c r="X327" s="165"/>
      <c r="Y327" s="165"/>
      <c r="Z327" s="165"/>
    </row>
    <row r="328" spans="1:26" ht="12.75" customHeight="1">
      <c r="A328" s="165"/>
      <c r="B328" s="165"/>
      <c r="C328" s="165"/>
      <c r="D328" s="165"/>
      <c r="E328" s="165"/>
      <c r="F328" s="165"/>
      <c r="G328" s="165"/>
      <c r="H328" s="165"/>
      <c r="I328" s="165"/>
      <c r="J328" s="165"/>
      <c r="K328" s="165"/>
      <c r="L328" s="165"/>
      <c r="M328" s="165"/>
      <c r="N328" s="165"/>
      <c r="O328" s="165"/>
      <c r="P328" s="165"/>
      <c r="Q328" s="165"/>
      <c r="R328" s="165"/>
      <c r="S328" s="165"/>
      <c r="T328" s="165"/>
      <c r="U328" s="165"/>
      <c r="V328" s="165"/>
      <c r="W328" s="165"/>
      <c r="X328" s="165"/>
      <c r="Y328" s="165"/>
      <c r="Z328" s="165"/>
    </row>
    <row r="329" spans="1:26" ht="12.75" customHeight="1">
      <c r="A329" s="165"/>
      <c r="B329" s="165"/>
      <c r="C329" s="165"/>
      <c r="D329" s="165"/>
      <c r="E329" s="165"/>
      <c r="F329" s="165"/>
      <c r="G329" s="165"/>
      <c r="H329" s="165"/>
      <c r="I329" s="165"/>
      <c r="J329" s="165"/>
      <c r="K329" s="165"/>
      <c r="L329" s="165"/>
      <c r="M329" s="165"/>
      <c r="N329" s="165"/>
      <c r="O329" s="165"/>
      <c r="P329" s="165"/>
      <c r="Q329" s="165"/>
      <c r="R329" s="165"/>
      <c r="S329" s="165"/>
      <c r="T329" s="165"/>
      <c r="U329" s="165"/>
      <c r="V329" s="165"/>
      <c r="W329" s="165"/>
      <c r="X329" s="165"/>
      <c r="Y329" s="165"/>
      <c r="Z329" s="165"/>
    </row>
    <row r="330" spans="1:26" ht="12.75" customHeight="1">
      <c r="A330" s="165"/>
      <c r="B330" s="165"/>
      <c r="C330" s="165"/>
      <c r="D330" s="165"/>
      <c r="E330" s="165"/>
      <c r="F330" s="165"/>
      <c r="G330" s="165"/>
      <c r="H330" s="165"/>
      <c r="I330" s="165"/>
      <c r="J330" s="165"/>
      <c r="K330" s="165"/>
      <c r="L330" s="165"/>
      <c r="M330" s="165"/>
      <c r="N330" s="165"/>
      <c r="O330" s="165"/>
      <c r="P330" s="165"/>
      <c r="Q330" s="165"/>
      <c r="R330" s="165"/>
      <c r="S330" s="165"/>
      <c r="T330" s="165"/>
      <c r="U330" s="165"/>
      <c r="V330" s="165"/>
      <c r="W330" s="165"/>
      <c r="X330" s="165"/>
      <c r="Y330" s="165"/>
      <c r="Z330" s="165"/>
    </row>
    <row r="331" spans="1:26" ht="12.75" customHeight="1">
      <c r="A331" s="165"/>
      <c r="B331" s="165"/>
      <c r="C331" s="165"/>
      <c r="D331" s="165"/>
      <c r="E331" s="165"/>
      <c r="F331" s="165"/>
      <c r="G331" s="165"/>
      <c r="H331" s="165"/>
      <c r="I331" s="165"/>
      <c r="J331" s="165"/>
      <c r="K331" s="165"/>
      <c r="L331" s="165"/>
      <c r="M331" s="165"/>
      <c r="N331" s="165"/>
      <c r="O331" s="165"/>
      <c r="P331" s="165"/>
      <c r="Q331" s="165"/>
      <c r="R331" s="165"/>
      <c r="S331" s="165"/>
      <c r="T331" s="165"/>
      <c r="U331" s="165"/>
      <c r="V331" s="165"/>
      <c r="W331" s="165"/>
      <c r="X331" s="165"/>
      <c r="Y331" s="165"/>
      <c r="Z331" s="165"/>
    </row>
    <row r="332" spans="1:26" ht="12.75" customHeight="1">
      <c r="A332" s="165"/>
      <c r="B332" s="165"/>
      <c r="C332" s="165"/>
      <c r="D332" s="165"/>
      <c r="E332" s="165"/>
      <c r="F332" s="165"/>
      <c r="G332" s="165"/>
      <c r="H332" s="165"/>
      <c r="I332" s="165"/>
      <c r="J332" s="165"/>
      <c r="K332" s="165"/>
      <c r="L332" s="165"/>
      <c r="M332" s="165"/>
      <c r="N332" s="165"/>
      <c r="O332" s="165"/>
      <c r="P332" s="165"/>
      <c r="Q332" s="165"/>
      <c r="R332" s="165"/>
      <c r="S332" s="165"/>
      <c r="T332" s="165"/>
      <c r="U332" s="165"/>
      <c r="V332" s="165"/>
      <c r="W332" s="165"/>
      <c r="X332" s="165"/>
      <c r="Y332" s="165"/>
      <c r="Z332" s="165"/>
    </row>
    <row r="333" spans="1:26" ht="12.75" customHeight="1">
      <c r="A333" s="165"/>
      <c r="B333" s="165"/>
      <c r="C333" s="165"/>
      <c r="D333" s="165"/>
      <c r="E333" s="165"/>
      <c r="F333" s="165"/>
      <c r="G333" s="165"/>
      <c r="H333" s="165"/>
      <c r="I333" s="165"/>
      <c r="J333" s="165"/>
      <c r="K333" s="165"/>
      <c r="L333" s="165"/>
      <c r="M333" s="165"/>
      <c r="N333" s="165"/>
      <c r="O333" s="165"/>
      <c r="P333" s="165"/>
      <c r="Q333" s="165"/>
      <c r="R333" s="165"/>
      <c r="S333" s="165"/>
      <c r="T333" s="165"/>
      <c r="U333" s="165"/>
      <c r="V333" s="165"/>
      <c r="W333" s="165"/>
      <c r="X333" s="165"/>
      <c r="Y333" s="165"/>
      <c r="Z333" s="165"/>
    </row>
    <row r="334" spans="1:26" ht="12.75" customHeight="1">
      <c r="A334" s="165"/>
      <c r="B334" s="165"/>
      <c r="C334" s="165"/>
      <c r="D334" s="165"/>
      <c r="E334" s="165"/>
      <c r="F334" s="165"/>
      <c r="G334" s="165"/>
      <c r="H334" s="165"/>
      <c r="I334" s="165"/>
      <c r="J334" s="165"/>
      <c r="K334" s="165"/>
      <c r="L334" s="165"/>
      <c r="M334" s="165"/>
      <c r="N334" s="165"/>
      <c r="O334" s="165"/>
      <c r="P334" s="165"/>
      <c r="Q334" s="165"/>
      <c r="R334" s="165"/>
      <c r="S334" s="165"/>
      <c r="T334" s="165"/>
      <c r="U334" s="165"/>
      <c r="V334" s="165"/>
      <c r="W334" s="165"/>
      <c r="X334" s="165"/>
      <c r="Y334" s="165"/>
      <c r="Z334" s="165"/>
    </row>
    <row r="335" spans="1:26" ht="12.75" customHeight="1">
      <c r="A335" s="165"/>
      <c r="B335" s="165"/>
      <c r="C335" s="165"/>
      <c r="D335" s="165"/>
      <c r="E335" s="165"/>
      <c r="F335" s="165"/>
      <c r="G335" s="165"/>
      <c r="H335" s="165"/>
      <c r="I335" s="165"/>
      <c r="J335" s="165"/>
      <c r="K335" s="165"/>
      <c r="L335" s="165"/>
      <c r="M335" s="165"/>
      <c r="N335" s="165"/>
      <c r="O335" s="165"/>
      <c r="P335" s="165"/>
      <c r="Q335" s="165"/>
      <c r="R335" s="165"/>
      <c r="S335" s="165"/>
      <c r="T335" s="165"/>
      <c r="U335" s="165"/>
      <c r="V335" s="165"/>
      <c r="W335" s="165"/>
      <c r="X335" s="165"/>
      <c r="Y335" s="165"/>
      <c r="Z335" s="165"/>
    </row>
    <row r="336" spans="1:26" ht="12.75" customHeight="1">
      <c r="A336" s="165"/>
      <c r="B336" s="165"/>
      <c r="C336" s="165"/>
      <c r="D336" s="165"/>
      <c r="E336" s="165"/>
      <c r="F336" s="165"/>
      <c r="G336" s="165"/>
      <c r="H336" s="165"/>
      <c r="I336" s="165"/>
      <c r="J336" s="165"/>
      <c r="K336" s="165"/>
      <c r="L336" s="165"/>
      <c r="M336" s="165"/>
      <c r="N336" s="165"/>
      <c r="O336" s="165"/>
      <c r="P336" s="165"/>
      <c r="Q336" s="165"/>
      <c r="R336" s="165"/>
      <c r="S336" s="165"/>
      <c r="T336" s="165"/>
      <c r="U336" s="165"/>
      <c r="V336" s="165"/>
      <c r="W336" s="165"/>
      <c r="X336" s="165"/>
      <c r="Y336" s="165"/>
      <c r="Z336" s="165"/>
    </row>
    <row r="337" spans="1:26" ht="12.75" customHeight="1">
      <c r="A337" s="165"/>
      <c r="B337" s="165"/>
      <c r="C337" s="165"/>
      <c r="D337" s="165"/>
      <c r="E337" s="165"/>
      <c r="F337" s="165"/>
      <c r="G337" s="165"/>
      <c r="H337" s="165"/>
      <c r="I337" s="165"/>
      <c r="J337" s="165"/>
      <c r="K337" s="165"/>
      <c r="L337" s="165"/>
      <c r="M337" s="165"/>
      <c r="N337" s="165"/>
      <c r="O337" s="165"/>
      <c r="P337" s="165"/>
      <c r="Q337" s="165"/>
      <c r="R337" s="165"/>
      <c r="S337" s="165"/>
      <c r="T337" s="165"/>
      <c r="U337" s="165"/>
      <c r="V337" s="165"/>
      <c r="W337" s="165"/>
      <c r="X337" s="165"/>
      <c r="Y337" s="165"/>
      <c r="Z337" s="165"/>
    </row>
    <row r="338" spans="1:26" ht="12.75" customHeight="1">
      <c r="A338" s="165"/>
      <c r="B338" s="165"/>
      <c r="C338" s="165"/>
      <c r="D338" s="165"/>
      <c r="E338" s="165"/>
      <c r="F338" s="165"/>
      <c r="G338" s="165"/>
      <c r="H338" s="165"/>
      <c r="I338" s="165"/>
      <c r="J338" s="165"/>
      <c r="K338" s="165"/>
      <c r="L338" s="165"/>
      <c r="M338" s="165"/>
      <c r="N338" s="165"/>
      <c r="O338" s="165"/>
      <c r="P338" s="165"/>
      <c r="Q338" s="165"/>
      <c r="R338" s="165"/>
      <c r="S338" s="165"/>
      <c r="T338" s="165"/>
      <c r="U338" s="165"/>
      <c r="V338" s="165"/>
      <c r="W338" s="165"/>
      <c r="X338" s="165"/>
      <c r="Y338" s="165"/>
      <c r="Z338" s="165"/>
    </row>
    <row r="339" spans="1:26" ht="12.75" customHeight="1">
      <c r="A339" s="165"/>
      <c r="B339" s="165"/>
      <c r="C339" s="165"/>
      <c r="D339" s="165"/>
      <c r="E339" s="165"/>
      <c r="F339" s="165"/>
      <c r="G339" s="165"/>
      <c r="H339" s="165"/>
      <c r="I339" s="165"/>
      <c r="J339" s="165"/>
      <c r="K339" s="165"/>
      <c r="L339" s="165"/>
      <c r="M339" s="165"/>
      <c r="N339" s="165"/>
      <c r="O339" s="165"/>
      <c r="P339" s="165"/>
      <c r="Q339" s="165"/>
      <c r="R339" s="165"/>
      <c r="S339" s="165"/>
      <c r="T339" s="165"/>
      <c r="U339" s="165"/>
      <c r="V339" s="165"/>
      <c r="W339" s="165"/>
      <c r="X339" s="165"/>
      <c r="Y339" s="165"/>
      <c r="Z339" s="165"/>
    </row>
    <row r="340" spans="1:26" ht="12.75" customHeight="1">
      <c r="A340" s="165"/>
      <c r="B340" s="165"/>
      <c r="C340" s="165"/>
      <c r="D340" s="165"/>
      <c r="E340" s="165"/>
      <c r="F340" s="165"/>
      <c r="G340" s="165"/>
      <c r="H340" s="165"/>
      <c r="I340" s="165"/>
      <c r="J340" s="165"/>
      <c r="K340" s="165"/>
      <c r="L340" s="165"/>
      <c r="M340" s="165"/>
      <c r="N340" s="165"/>
      <c r="O340" s="165"/>
      <c r="P340" s="165"/>
      <c r="Q340" s="165"/>
      <c r="R340" s="165"/>
      <c r="S340" s="165"/>
      <c r="T340" s="165"/>
      <c r="U340" s="165"/>
      <c r="V340" s="165"/>
      <c r="W340" s="165"/>
      <c r="X340" s="165"/>
      <c r="Y340" s="165"/>
      <c r="Z340" s="165"/>
    </row>
    <row r="341" spans="1:26" ht="12.75" customHeight="1">
      <c r="A341" s="165"/>
      <c r="B341" s="165"/>
      <c r="C341" s="165"/>
      <c r="D341" s="165"/>
      <c r="E341" s="165"/>
      <c r="F341" s="165"/>
      <c r="G341" s="165"/>
      <c r="H341" s="165"/>
      <c r="I341" s="165"/>
      <c r="J341" s="165"/>
      <c r="K341" s="165"/>
      <c r="L341" s="165"/>
      <c r="M341" s="165"/>
      <c r="N341" s="165"/>
      <c r="O341" s="165"/>
      <c r="P341" s="165"/>
      <c r="Q341" s="165"/>
      <c r="R341" s="165"/>
      <c r="S341" s="165"/>
      <c r="T341" s="165"/>
      <c r="U341" s="165"/>
      <c r="V341" s="165"/>
      <c r="W341" s="165"/>
      <c r="X341" s="165"/>
      <c r="Y341" s="165"/>
      <c r="Z341" s="165"/>
    </row>
    <row r="342" spans="1:26" ht="12.75" customHeight="1">
      <c r="A342" s="165"/>
      <c r="B342" s="165"/>
      <c r="C342" s="165"/>
      <c r="D342" s="165"/>
      <c r="E342" s="165"/>
      <c r="F342" s="165"/>
      <c r="G342" s="165"/>
      <c r="H342" s="165"/>
      <c r="I342" s="165"/>
      <c r="J342" s="165"/>
      <c r="K342" s="165"/>
      <c r="L342" s="165"/>
      <c r="M342" s="165"/>
      <c r="N342" s="165"/>
      <c r="O342" s="165"/>
      <c r="P342" s="165"/>
      <c r="Q342" s="165"/>
      <c r="R342" s="165"/>
      <c r="S342" s="165"/>
      <c r="T342" s="165"/>
      <c r="U342" s="165"/>
      <c r="V342" s="165"/>
      <c r="W342" s="165"/>
      <c r="X342" s="165"/>
      <c r="Y342" s="165"/>
      <c r="Z342" s="165"/>
    </row>
    <row r="343" spans="1:26" ht="12.75" customHeight="1">
      <c r="A343" s="165"/>
      <c r="B343" s="165"/>
      <c r="C343" s="165"/>
      <c r="D343" s="165"/>
      <c r="E343" s="165"/>
      <c r="F343" s="165"/>
      <c r="G343" s="165"/>
      <c r="H343" s="165"/>
      <c r="I343" s="165"/>
      <c r="J343" s="165"/>
      <c r="K343" s="165"/>
      <c r="L343" s="165"/>
      <c r="M343" s="165"/>
      <c r="N343" s="165"/>
      <c r="O343" s="165"/>
      <c r="P343" s="165"/>
      <c r="Q343" s="165"/>
      <c r="R343" s="165"/>
      <c r="S343" s="165"/>
      <c r="T343" s="165"/>
      <c r="U343" s="165"/>
      <c r="V343" s="165"/>
      <c r="W343" s="165"/>
      <c r="X343" s="165"/>
      <c r="Y343" s="165"/>
      <c r="Z343" s="165"/>
    </row>
    <row r="344" spans="1:26" ht="12.75" customHeight="1">
      <c r="A344" s="165"/>
      <c r="B344" s="165"/>
      <c r="C344" s="165"/>
      <c r="D344" s="165"/>
      <c r="E344" s="165"/>
      <c r="F344" s="165"/>
      <c r="G344" s="165"/>
      <c r="H344" s="165"/>
      <c r="I344" s="165"/>
      <c r="J344" s="165"/>
      <c r="K344" s="165"/>
      <c r="L344" s="165"/>
      <c r="M344" s="165"/>
      <c r="N344" s="165"/>
      <c r="O344" s="165"/>
      <c r="P344" s="165"/>
      <c r="Q344" s="165"/>
      <c r="R344" s="165"/>
      <c r="S344" s="165"/>
      <c r="T344" s="165"/>
      <c r="U344" s="165"/>
      <c r="V344" s="165"/>
      <c r="W344" s="165"/>
      <c r="X344" s="165"/>
      <c r="Y344" s="165"/>
      <c r="Z344" s="165"/>
    </row>
    <row r="345" spans="1:26" ht="12.75" customHeight="1">
      <c r="A345" s="165"/>
      <c r="B345" s="165"/>
      <c r="C345" s="165"/>
      <c r="D345" s="165"/>
      <c r="E345" s="165"/>
      <c r="F345" s="165"/>
      <c r="G345" s="165"/>
      <c r="H345" s="165"/>
      <c r="I345" s="165"/>
      <c r="J345" s="165"/>
      <c r="K345" s="165"/>
      <c r="L345" s="165"/>
      <c r="M345" s="165"/>
      <c r="N345" s="165"/>
      <c r="O345" s="165"/>
      <c r="P345" s="165"/>
      <c r="Q345" s="165"/>
      <c r="R345" s="165"/>
      <c r="S345" s="165"/>
      <c r="T345" s="165"/>
      <c r="U345" s="165"/>
      <c r="V345" s="165"/>
      <c r="W345" s="165"/>
      <c r="X345" s="165"/>
      <c r="Y345" s="165"/>
      <c r="Z345" s="165"/>
    </row>
    <row r="346" spans="1:26" ht="12.75" customHeight="1">
      <c r="A346" s="165"/>
      <c r="B346" s="165"/>
      <c r="C346" s="165"/>
      <c r="D346" s="165"/>
      <c r="E346" s="165"/>
      <c r="F346" s="165"/>
      <c r="G346" s="165"/>
      <c r="H346" s="165"/>
      <c r="I346" s="165"/>
      <c r="J346" s="165"/>
      <c r="K346" s="165"/>
      <c r="L346" s="165"/>
      <c r="M346" s="165"/>
      <c r="N346" s="165"/>
      <c r="O346" s="165"/>
      <c r="P346" s="165"/>
      <c r="Q346" s="165"/>
      <c r="R346" s="165"/>
      <c r="S346" s="165"/>
      <c r="T346" s="165"/>
      <c r="U346" s="165"/>
      <c r="V346" s="165"/>
      <c r="W346" s="165"/>
      <c r="X346" s="165"/>
      <c r="Y346" s="165"/>
      <c r="Z346" s="165"/>
    </row>
    <row r="347" spans="1:26" ht="12.75" customHeight="1">
      <c r="A347" s="165"/>
      <c r="B347" s="165"/>
      <c r="C347" s="165"/>
      <c r="D347" s="165"/>
      <c r="E347" s="165"/>
      <c r="F347" s="165"/>
      <c r="G347" s="165"/>
      <c r="H347" s="165"/>
      <c r="I347" s="165"/>
      <c r="J347" s="165"/>
      <c r="K347" s="165"/>
      <c r="L347" s="165"/>
      <c r="M347" s="165"/>
      <c r="N347" s="165"/>
      <c r="O347" s="165"/>
      <c r="P347" s="165"/>
      <c r="Q347" s="165"/>
      <c r="R347" s="165"/>
      <c r="S347" s="165"/>
      <c r="T347" s="165"/>
      <c r="U347" s="165"/>
      <c r="V347" s="165"/>
      <c r="W347" s="165"/>
      <c r="X347" s="165"/>
      <c r="Y347" s="165"/>
      <c r="Z347" s="165"/>
    </row>
    <row r="348" spans="1:26" ht="12.75" customHeight="1">
      <c r="A348" s="165"/>
      <c r="B348" s="165"/>
      <c r="C348" s="165"/>
      <c r="D348" s="165"/>
      <c r="E348" s="165"/>
      <c r="F348" s="165"/>
      <c r="G348" s="165"/>
      <c r="H348" s="165"/>
      <c r="I348" s="165"/>
      <c r="J348" s="165"/>
      <c r="K348" s="165"/>
      <c r="L348" s="165"/>
      <c r="M348" s="165"/>
      <c r="N348" s="165"/>
      <c r="O348" s="165"/>
      <c r="P348" s="165"/>
      <c r="Q348" s="165"/>
      <c r="R348" s="165"/>
      <c r="S348" s="165"/>
      <c r="T348" s="165"/>
      <c r="U348" s="165"/>
      <c r="V348" s="165"/>
      <c r="W348" s="165"/>
      <c r="X348" s="165"/>
      <c r="Y348" s="165"/>
      <c r="Z348" s="165"/>
    </row>
    <row r="349" spans="1:26" ht="12.75" customHeight="1">
      <c r="A349" s="165"/>
      <c r="B349" s="165"/>
      <c r="C349" s="165"/>
      <c r="D349" s="165"/>
      <c r="E349" s="165"/>
      <c r="F349" s="165"/>
      <c r="G349" s="165"/>
      <c r="H349" s="165"/>
      <c r="I349" s="165"/>
      <c r="J349" s="165"/>
      <c r="K349" s="165"/>
      <c r="L349" s="165"/>
      <c r="M349" s="165"/>
      <c r="N349" s="165"/>
      <c r="O349" s="165"/>
      <c r="P349" s="165"/>
      <c r="Q349" s="165"/>
      <c r="R349" s="165"/>
      <c r="S349" s="165"/>
      <c r="T349" s="165"/>
      <c r="U349" s="165"/>
      <c r="V349" s="165"/>
      <c r="W349" s="165"/>
      <c r="X349" s="165"/>
      <c r="Y349" s="165"/>
      <c r="Z349" s="165"/>
    </row>
    <row r="350" spans="1:26" ht="12.75" customHeight="1">
      <c r="A350" s="165"/>
      <c r="B350" s="165"/>
      <c r="C350" s="165"/>
      <c r="D350" s="165"/>
      <c r="E350" s="165"/>
      <c r="F350" s="165"/>
      <c r="G350" s="165"/>
      <c r="H350" s="165"/>
      <c r="I350" s="165"/>
      <c r="J350" s="165"/>
      <c r="K350" s="165"/>
      <c r="L350" s="165"/>
      <c r="M350" s="165"/>
      <c r="N350" s="165"/>
      <c r="O350" s="165"/>
      <c r="P350" s="165"/>
      <c r="Q350" s="165"/>
      <c r="R350" s="165"/>
      <c r="S350" s="165"/>
      <c r="T350" s="165"/>
      <c r="U350" s="165"/>
      <c r="V350" s="165"/>
      <c r="W350" s="165"/>
      <c r="X350" s="165"/>
      <c r="Y350" s="165"/>
      <c r="Z350" s="165"/>
    </row>
    <row r="351" spans="1:26" ht="12.75" customHeight="1">
      <c r="A351" s="165"/>
      <c r="B351" s="165"/>
      <c r="C351" s="165"/>
      <c r="D351" s="165"/>
      <c r="E351" s="165"/>
      <c r="F351" s="165"/>
      <c r="G351" s="165"/>
      <c r="H351" s="165"/>
      <c r="I351" s="165"/>
      <c r="J351" s="165"/>
      <c r="K351" s="165"/>
      <c r="L351" s="165"/>
      <c r="M351" s="165"/>
      <c r="N351" s="165"/>
      <c r="O351" s="165"/>
      <c r="P351" s="165"/>
      <c r="Q351" s="165"/>
      <c r="R351" s="165"/>
      <c r="S351" s="165"/>
      <c r="T351" s="165"/>
      <c r="U351" s="165"/>
      <c r="V351" s="165"/>
      <c r="W351" s="165"/>
      <c r="X351" s="165"/>
      <c r="Y351" s="165"/>
      <c r="Z351" s="165"/>
    </row>
    <row r="352" spans="1:26" ht="12.75" customHeight="1">
      <c r="A352" s="165"/>
      <c r="B352" s="165"/>
      <c r="C352" s="165"/>
      <c r="D352" s="165"/>
      <c r="E352" s="165"/>
      <c r="F352" s="165"/>
      <c r="G352" s="165"/>
      <c r="H352" s="165"/>
      <c r="I352" s="165"/>
      <c r="J352" s="165"/>
      <c r="K352" s="165"/>
      <c r="L352" s="165"/>
      <c r="M352" s="165"/>
      <c r="N352" s="165"/>
      <c r="O352" s="165"/>
      <c r="P352" s="165"/>
      <c r="Q352" s="165"/>
      <c r="R352" s="165"/>
      <c r="S352" s="165"/>
      <c r="T352" s="165"/>
      <c r="U352" s="165"/>
      <c r="V352" s="165"/>
      <c r="W352" s="165"/>
      <c r="X352" s="165"/>
      <c r="Y352" s="165"/>
      <c r="Z352" s="165"/>
    </row>
    <row r="353" spans="1:26" ht="12.75" customHeight="1">
      <c r="A353" s="165"/>
      <c r="B353" s="165"/>
      <c r="C353" s="165"/>
      <c r="D353" s="165"/>
      <c r="E353" s="165"/>
      <c r="F353" s="165"/>
      <c r="G353" s="165"/>
      <c r="H353" s="165"/>
      <c r="I353" s="165"/>
      <c r="J353" s="165"/>
      <c r="K353" s="165"/>
      <c r="L353" s="165"/>
      <c r="M353" s="165"/>
      <c r="N353" s="165"/>
      <c r="O353" s="165"/>
      <c r="P353" s="165"/>
      <c r="Q353" s="165"/>
      <c r="R353" s="165"/>
      <c r="S353" s="165"/>
      <c r="T353" s="165"/>
      <c r="U353" s="165"/>
      <c r="V353" s="165"/>
      <c r="W353" s="165"/>
      <c r="X353" s="165"/>
      <c r="Y353" s="165"/>
      <c r="Z353" s="165"/>
    </row>
    <row r="354" spans="1:26" ht="12.75" customHeight="1">
      <c r="A354" s="165"/>
      <c r="B354" s="165"/>
      <c r="C354" s="165"/>
      <c r="D354" s="165"/>
      <c r="E354" s="165"/>
      <c r="F354" s="165"/>
      <c r="G354" s="165"/>
      <c r="H354" s="165"/>
      <c r="I354" s="165"/>
      <c r="J354" s="165"/>
      <c r="K354" s="165"/>
      <c r="L354" s="165"/>
      <c r="M354" s="165"/>
      <c r="N354" s="165"/>
      <c r="O354" s="165"/>
      <c r="P354" s="165"/>
      <c r="Q354" s="165"/>
      <c r="R354" s="165"/>
      <c r="S354" s="165"/>
      <c r="T354" s="165"/>
      <c r="U354" s="165"/>
      <c r="V354" s="165"/>
      <c r="W354" s="165"/>
      <c r="X354" s="165"/>
      <c r="Y354" s="165"/>
      <c r="Z354" s="165"/>
    </row>
    <row r="355" spans="1:26" ht="12.75" customHeight="1">
      <c r="A355" s="165"/>
      <c r="B355" s="165"/>
      <c r="C355" s="165"/>
      <c r="D355" s="165"/>
      <c r="E355" s="165"/>
      <c r="F355" s="165"/>
      <c r="G355" s="165"/>
      <c r="H355" s="165"/>
      <c r="I355" s="165"/>
      <c r="J355" s="165"/>
      <c r="K355" s="165"/>
      <c r="L355" s="165"/>
      <c r="M355" s="165"/>
      <c r="N355" s="165"/>
      <c r="O355" s="165"/>
      <c r="P355" s="165"/>
      <c r="Q355" s="165"/>
      <c r="R355" s="165"/>
      <c r="S355" s="165"/>
      <c r="T355" s="165"/>
      <c r="U355" s="165"/>
      <c r="V355" s="165"/>
      <c r="W355" s="165"/>
      <c r="X355" s="165"/>
      <c r="Y355" s="165"/>
      <c r="Z355" s="165"/>
    </row>
    <row r="356" spans="1:26" ht="12.75" customHeight="1">
      <c r="A356" s="165"/>
      <c r="B356" s="165"/>
      <c r="C356" s="165"/>
      <c r="D356" s="165"/>
      <c r="E356" s="165"/>
      <c r="F356" s="165"/>
      <c r="G356" s="165"/>
      <c r="H356" s="165"/>
      <c r="I356" s="165"/>
      <c r="J356" s="165"/>
      <c r="K356" s="165"/>
      <c r="L356" s="165"/>
      <c r="M356" s="165"/>
      <c r="N356" s="165"/>
      <c r="O356" s="165"/>
      <c r="P356" s="165"/>
      <c r="Q356" s="165"/>
      <c r="R356" s="165"/>
      <c r="S356" s="165"/>
      <c r="T356" s="165"/>
      <c r="U356" s="165"/>
      <c r="V356" s="165"/>
      <c r="W356" s="165"/>
      <c r="X356" s="165"/>
      <c r="Y356" s="165"/>
      <c r="Z356" s="165"/>
    </row>
    <row r="357" spans="1:26" ht="12.75" customHeight="1">
      <c r="A357" s="165"/>
      <c r="B357" s="165"/>
      <c r="C357" s="165"/>
      <c r="D357" s="165"/>
      <c r="E357" s="165"/>
      <c r="F357" s="165"/>
      <c r="G357" s="165"/>
      <c r="H357" s="165"/>
      <c r="I357" s="165"/>
      <c r="J357" s="165"/>
      <c r="K357" s="165"/>
      <c r="L357" s="165"/>
      <c r="M357" s="165"/>
      <c r="N357" s="165"/>
      <c r="O357" s="165"/>
      <c r="P357" s="165"/>
      <c r="Q357" s="165"/>
      <c r="R357" s="165"/>
      <c r="S357" s="165"/>
      <c r="T357" s="165"/>
      <c r="U357" s="165"/>
      <c r="V357" s="165"/>
      <c r="W357" s="165"/>
      <c r="X357" s="165"/>
      <c r="Y357" s="165"/>
      <c r="Z357" s="165"/>
    </row>
    <row r="358" spans="1:26" ht="12.75" customHeight="1">
      <c r="A358" s="165"/>
      <c r="B358" s="165"/>
      <c r="C358" s="165"/>
      <c r="D358" s="165"/>
      <c r="E358" s="165"/>
      <c r="F358" s="165"/>
      <c r="G358" s="165"/>
      <c r="H358" s="165"/>
      <c r="I358" s="165"/>
      <c r="J358" s="165"/>
      <c r="K358" s="165"/>
      <c r="L358" s="165"/>
      <c r="M358" s="165"/>
      <c r="N358" s="165"/>
      <c r="O358" s="165"/>
      <c r="P358" s="165"/>
      <c r="Q358" s="165"/>
      <c r="R358" s="165"/>
      <c r="S358" s="165"/>
      <c r="T358" s="165"/>
      <c r="U358" s="165"/>
      <c r="V358" s="165"/>
      <c r="W358" s="165"/>
      <c r="X358" s="165"/>
      <c r="Y358" s="165"/>
      <c r="Z358" s="165"/>
    </row>
    <row r="359" spans="1:26" ht="12.75" customHeight="1">
      <c r="A359" s="165"/>
      <c r="B359" s="165"/>
      <c r="C359" s="165"/>
      <c r="D359" s="165"/>
      <c r="E359" s="165"/>
      <c r="F359" s="165"/>
      <c r="G359" s="165"/>
      <c r="H359" s="165"/>
      <c r="I359" s="165"/>
      <c r="J359" s="165"/>
      <c r="K359" s="165"/>
      <c r="L359" s="165"/>
      <c r="M359" s="165"/>
      <c r="N359" s="165"/>
      <c r="O359" s="165"/>
      <c r="P359" s="165"/>
      <c r="Q359" s="165"/>
      <c r="R359" s="165"/>
      <c r="S359" s="165"/>
      <c r="T359" s="165"/>
      <c r="U359" s="165"/>
      <c r="V359" s="165"/>
      <c r="W359" s="165"/>
      <c r="X359" s="165"/>
      <c r="Y359" s="165"/>
      <c r="Z359" s="165"/>
    </row>
    <row r="360" spans="1:26" ht="12.75" customHeight="1">
      <c r="A360" s="165"/>
      <c r="B360" s="165"/>
      <c r="C360" s="165"/>
      <c r="D360" s="165"/>
      <c r="E360" s="165"/>
      <c r="F360" s="165"/>
      <c r="G360" s="165"/>
      <c r="H360" s="165"/>
      <c r="I360" s="165"/>
      <c r="J360" s="165"/>
      <c r="K360" s="165"/>
      <c r="L360" s="165"/>
      <c r="M360" s="165"/>
      <c r="N360" s="165"/>
      <c r="O360" s="165"/>
      <c r="P360" s="165"/>
      <c r="Q360" s="165"/>
      <c r="R360" s="165"/>
      <c r="S360" s="165"/>
      <c r="T360" s="165"/>
      <c r="U360" s="165"/>
      <c r="V360" s="165"/>
      <c r="W360" s="165"/>
      <c r="X360" s="165"/>
      <c r="Y360" s="165"/>
      <c r="Z360" s="165"/>
    </row>
    <row r="361" spans="1:26" ht="12.75" customHeight="1">
      <c r="A361" s="165"/>
      <c r="B361" s="165"/>
      <c r="C361" s="165"/>
      <c r="D361" s="165"/>
      <c r="E361" s="165"/>
      <c r="F361" s="165"/>
      <c r="G361" s="165"/>
      <c r="H361" s="165"/>
      <c r="I361" s="165"/>
      <c r="J361" s="165"/>
      <c r="K361" s="165"/>
      <c r="L361" s="165"/>
      <c r="M361" s="165"/>
      <c r="N361" s="165"/>
      <c r="O361" s="165"/>
      <c r="P361" s="165"/>
      <c r="Q361" s="165"/>
      <c r="R361" s="165"/>
      <c r="S361" s="165"/>
      <c r="T361" s="165"/>
      <c r="U361" s="165"/>
      <c r="V361" s="165"/>
      <c r="W361" s="165"/>
      <c r="X361" s="165"/>
      <c r="Y361" s="165"/>
      <c r="Z361" s="165"/>
    </row>
    <row r="362" spans="1:26" ht="12.75" customHeight="1">
      <c r="A362" s="165"/>
      <c r="B362" s="165"/>
      <c r="C362" s="165"/>
      <c r="D362" s="165"/>
      <c r="E362" s="165"/>
      <c r="F362" s="165"/>
      <c r="G362" s="165"/>
      <c r="H362" s="165"/>
      <c r="I362" s="165"/>
      <c r="J362" s="165"/>
      <c r="K362" s="165"/>
      <c r="L362" s="165"/>
      <c r="M362" s="165"/>
      <c r="N362" s="165"/>
      <c r="O362" s="165"/>
      <c r="P362" s="165"/>
      <c r="Q362" s="165"/>
      <c r="R362" s="165"/>
      <c r="S362" s="165"/>
      <c r="T362" s="165"/>
      <c r="U362" s="165"/>
      <c r="V362" s="165"/>
      <c r="W362" s="165"/>
      <c r="X362" s="165"/>
      <c r="Y362" s="165"/>
      <c r="Z362" s="165"/>
    </row>
    <row r="363" spans="1:26" ht="12.75" customHeight="1">
      <c r="A363" s="165"/>
      <c r="B363" s="165"/>
      <c r="C363" s="165"/>
      <c r="D363" s="165"/>
      <c r="E363" s="165"/>
      <c r="F363" s="165"/>
      <c r="G363" s="165"/>
      <c r="H363" s="165"/>
      <c r="I363" s="165"/>
      <c r="J363" s="165"/>
      <c r="K363" s="165"/>
      <c r="L363" s="165"/>
      <c r="M363" s="165"/>
      <c r="N363" s="165"/>
      <c r="O363" s="165"/>
      <c r="P363" s="165"/>
      <c r="Q363" s="165"/>
      <c r="R363" s="165"/>
      <c r="S363" s="165"/>
      <c r="T363" s="165"/>
      <c r="U363" s="165"/>
      <c r="V363" s="165"/>
      <c r="W363" s="165"/>
      <c r="X363" s="165"/>
      <c r="Y363" s="165"/>
      <c r="Z363" s="165"/>
    </row>
    <row r="364" spans="1:26" ht="12.75" customHeight="1">
      <c r="A364" s="165"/>
      <c r="B364" s="165"/>
      <c r="C364" s="165"/>
      <c r="D364" s="165"/>
      <c r="E364" s="165"/>
      <c r="F364" s="165"/>
      <c r="G364" s="165"/>
      <c r="H364" s="165"/>
      <c r="I364" s="165"/>
      <c r="J364" s="165"/>
      <c r="K364" s="165"/>
      <c r="L364" s="165"/>
      <c r="M364" s="165"/>
      <c r="N364" s="165"/>
      <c r="O364" s="165"/>
      <c r="P364" s="165"/>
      <c r="Q364" s="165"/>
      <c r="R364" s="165"/>
      <c r="S364" s="165"/>
      <c r="T364" s="165"/>
      <c r="U364" s="165"/>
      <c r="V364" s="165"/>
      <c r="W364" s="165"/>
      <c r="X364" s="165"/>
      <c r="Y364" s="165"/>
      <c r="Z364" s="165"/>
    </row>
    <row r="365" spans="1:26" ht="12.75" customHeight="1">
      <c r="A365" s="165"/>
      <c r="B365" s="165"/>
      <c r="C365" s="165"/>
      <c r="D365" s="165"/>
      <c r="E365" s="165"/>
      <c r="F365" s="165"/>
      <c r="G365" s="165"/>
      <c r="H365" s="165"/>
      <c r="I365" s="165"/>
      <c r="J365" s="165"/>
      <c r="K365" s="165"/>
      <c r="L365" s="165"/>
      <c r="M365" s="165"/>
      <c r="N365" s="165"/>
      <c r="O365" s="165"/>
      <c r="P365" s="165"/>
      <c r="Q365" s="165"/>
      <c r="R365" s="165"/>
      <c r="S365" s="165"/>
      <c r="T365" s="165"/>
      <c r="U365" s="165"/>
      <c r="V365" s="165"/>
      <c r="W365" s="165"/>
      <c r="X365" s="165"/>
      <c r="Y365" s="165"/>
      <c r="Z365" s="165"/>
    </row>
    <row r="366" spans="1:26" ht="12.75" customHeight="1">
      <c r="A366" s="165"/>
      <c r="B366" s="165"/>
      <c r="C366" s="165"/>
      <c r="D366" s="165"/>
      <c r="E366" s="165"/>
      <c r="F366" s="165"/>
      <c r="G366" s="165"/>
      <c r="H366" s="165"/>
      <c r="I366" s="165"/>
      <c r="J366" s="165"/>
      <c r="K366" s="165"/>
      <c r="L366" s="165"/>
      <c r="M366" s="165"/>
      <c r="N366" s="165"/>
      <c r="O366" s="165"/>
      <c r="P366" s="165"/>
      <c r="Q366" s="165"/>
      <c r="R366" s="165"/>
      <c r="S366" s="165"/>
      <c r="T366" s="165"/>
      <c r="U366" s="165"/>
      <c r="V366" s="165"/>
      <c r="W366" s="165"/>
      <c r="X366" s="165"/>
      <c r="Y366" s="165"/>
      <c r="Z366" s="165"/>
    </row>
    <row r="367" spans="1:26" ht="12.75" customHeight="1">
      <c r="A367" s="165"/>
      <c r="B367" s="165"/>
      <c r="C367" s="165"/>
      <c r="D367" s="165"/>
      <c r="E367" s="165"/>
      <c r="F367" s="165"/>
      <c r="G367" s="165"/>
      <c r="H367" s="165"/>
      <c r="I367" s="165"/>
      <c r="J367" s="165"/>
      <c r="K367" s="165"/>
      <c r="L367" s="165"/>
      <c r="M367" s="165"/>
      <c r="N367" s="165"/>
      <c r="O367" s="165"/>
      <c r="P367" s="165"/>
      <c r="Q367" s="165"/>
      <c r="R367" s="165"/>
      <c r="S367" s="165"/>
      <c r="T367" s="165"/>
      <c r="U367" s="165"/>
      <c r="V367" s="165"/>
      <c r="W367" s="165"/>
      <c r="X367" s="165"/>
      <c r="Y367" s="165"/>
      <c r="Z367" s="165"/>
    </row>
    <row r="368" spans="1:26" ht="12.75" customHeight="1">
      <c r="A368" s="165"/>
      <c r="B368" s="165"/>
      <c r="C368" s="165"/>
      <c r="D368" s="165"/>
      <c r="E368" s="165"/>
      <c r="F368" s="165"/>
      <c r="G368" s="165"/>
      <c r="H368" s="165"/>
      <c r="I368" s="165"/>
      <c r="J368" s="165"/>
      <c r="K368" s="165"/>
      <c r="L368" s="165"/>
      <c r="M368" s="165"/>
      <c r="N368" s="165"/>
      <c r="O368" s="165"/>
      <c r="P368" s="165"/>
      <c r="Q368" s="165"/>
      <c r="R368" s="165"/>
      <c r="S368" s="165"/>
      <c r="T368" s="165"/>
      <c r="U368" s="165"/>
      <c r="V368" s="165"/>
      <c r="W368" s="165"/>
      <c r="X368" s="165"/>
      <c r="Y368" s="165"/>
      <c r="Z368" s="165"/>
    </row>
    <row r="369" spans="1:26" ht="12.75" customHeight="1">
      <c r="A369" s="165"/>
      <c r="B369" s="165"/>
      <c r="C369" s="165"/>
      <c r="D369" s="165"/>
      <c r="E369" s="165"/>
      <c r="F369" s="165"/>
      <c r="G369" s="165"/>
      <c r="H369" s="165"/>
      <c r="I369" s="165"/>
      <c r="J369" s="165"/>
      <c r="K369" s="165"/>
      <c r="L369" s="165"/>
      <c r="M369" s="165"/>
      <c r="N369" s="165"/>
      <c r="O369" s="165"/>
      <c r="P369" s="165"/>
      <c r="Q369" s="165"/>
      <c r="R369" s="165"/>
      <c r="S369" s="165"/>
      <c r="T369" s="165"/>
      <c r="U369" s="165"/>
      <c r="V369" s="165"/>
      <c r="W369" s="165"/>
      <c r="X369" s="165"/>
      <c r="Y369" s="165"/>
      <c r="Z369" s="165"/>
    </row>
    <row r="370" spans="1:26" ht="12.75" customHeight="1">
      <c r="A370" s="165"/>
      <c r="B370" s="165"/>
      <c r="C370" s="165"/>
      <c r="D370" s="165"/>
      <c r="E370" s="165"/>
      <c r="F370" s="165"/>
      <c r="G370" s="165"/>
      <c r="H370" s="165"/>
      <c r="I370" s="165"/>
      <c r="J370" s="165"/>
      <c r="K370" s="165"/>
      <c r="L370" s="165"/>
      <c r="M370" s="165"/>
      <c r="N370" s="165"/>
      <c r="O370" s="165"/>
      <c r="P370" s="165"/>
      <c r="Q370" s="165"/>
      <c r="R370" s="165"/>
      <c r="S370" s="165"/>
      <c r="T370" s="165"/>
      <c r="U370" s="165"/>
      <c r="V370" s="165"/>
      <c r="W370" s="165"/>
      <c r="X370" s="165"/>
      <c r="Y370" s="165"/>
      <c r="Z370" s="165"/>
    </row>
    <row r="371" spans="1:26" ht="12.75" customHeight="1">
      <c r="A371" s="165"/>
      <c r="B371" s="165"/>
      <c r="C371" s="165"/>
      <c r="D371" s="165"/>
      <c r="E371" s="165"/>
      <c r="F371" s="165"/>
      <c r="G371" s="165"/>
      <c r="H371" s="165"/>
      <c r="I371" s="165"/>
      <c r="J371" s="165"/>
      <c r="K371" s="165"/>
      <c r="L371" s="165"/>
      <c r="M371" s="165"/>
      <c r="N371" s="165"/>
      <c r="O371" s="165"/>
      <c r="P371" s="165"/>
      <c r="Q371" s="165"/>
      <c r="R371" s="165"/>
      <c r="S371" s="165"/>
      <c r="T371" s="165"/>
      <c r="U371" s="165"/>
      <c r="V371" s="165"/>
      <c r="W371" s="165"/>
      <c r="X371" s="165"/>
      <c r="Y371" s="165"/>
      <c r="Z371" s="165"/>
    </row>
    <row r="372" spans="1:26" ht="12.75" customHeight="1">
      <c r="A372" s="165"/>
      <c r="B372" s="165"/>
      <c r="C372" s="165"/>
      <c r="D372" s="165"/>
      <c r="E372" s="165"/>
      <c r="F372" s="165"/>
      <c r="G372" s="165"/>
      <c r="H372" s="165"/>
      <c r="I372" s="165"/>
      <c r="J372" s="165"/>
      <c r="K372" s="165"/>
      <c r="L372" s="165"/>
      <c r="M372" s="165"/>
      <c r="N372" s="165"/>
      <c r="O372" s="165"/>
      <c r="P372" s="165"/>
      <c r="Q372" s="165"/>
      <c r="R372" s="165"/>
      <c r="S372" s="165"/>
      <c r="T372" s="165"/>
      <c r="U372" s="165"/>
      <c r="V372" s="165"/>
      <c r="W372" s="165"/>
      <c r="X372" s="165"/>
      <c r="Y372" s="165"/>
      <c r="Z372" s="165"/>
    </row>
    <row r="373" spans="1:26" ht="12.75" customHeight="1">
      <c r="A373" s="165"/>
      <c r="B373" s="165"/>
      <c r="C373" s="165"/>
      <c r="D373" s="165"/>
      <c r="E373" s="165"/>
      <c r="F373" s="165"/>
      <c r="G373" s="165"/>
      <c r="H373" s="165"/>
      <c r="I373" s="165"/>
      <c r="J373" s="165"/>
      <c r="K373" s="165"/>
      <c r="L373" s="165"/>
      <c r="M373" s="165"/>
      <c r="N373" s="165"/>
      <c r="O373" s="165"/>
      <c r="P373" s="165"/>
      <c r="Q373" s="165"/>
      <c r="R373" s="165"/>
      <c r="S373" s="165"/>
      <c r="T373" s="165"/>
      <c r="U373" s="165"/>
      <c r="V373" s="165"/>
      <c r="W373" s="165"/>
      <c r="X373" s="165"/>
      <c r="Y373" s="165"/>
      <c r="Z373" s="165"/>
    </row>
    <row r="374" spans="1:26" ht="12.75" customHeight="1">
      <c r="A374" s="165"/>
      <c r="B374" s="165"/>
      <c r="C374" s="165"/>
      <c r="D374" s="165"/>
      <c r="E374" s="165"/>
      <c r="F374" s="165"/>
      <c r="G374" s="165"/>
      <c r="H374" s="165"/>
      <c r="I374" s="165"/>
      <c r="J374" s="165"/>
      <c r="K374" s="165"/>
      <c r="L374" s="165"/>
      <c r="M374" s="165"/>
      <c r="N374" s="165"/>
      <c r="O374" s="165"/>
      <c r="P374" s="165"/>
      <c r="Q374" s="165"/>
      <c r="R374" s="165"/>
      <c r="S374" s="165"/>
      <c r="T374" s="165"/>
      <c r="U374" s="165"/>
      <c r="V374" s="165"/>
      <c r="W374" s="165"/>
      <c r="X374" s="165"/>
      <c r="Y374" s="165"/>
      <c r="Z374" s="165"/>
    </row>
    <row r="375" spans="1:26" ht="12.75" customHeight="1">
      <c r="A375" s="165"/>
      <c r="B375" s="165"/>
      <c r="C375" s="165"/>
      <c r="D375" s="165"/>
      <c r="E375" s="165"/>
      <c r="F375" s="165"/>
      <c r="G375" s="165"/>
      <c r="H375" s="165"/>
      <c r="I375" s="165"/>
      <c r="J375" s="165"/>
      <c r="K375" s="165"/>
      <c r="L375" s="165"/>
      <c r="M375" s="165"/>
      <c r="N375" s="165"/>
      <c r="O375" s="165"/>
      <c r="P375" s="165"/>
      <c r="Q375" s="165"/>
      <c r="R375" s="165"/>
      <c r="S375" s="165"/>
      <c r="T375" s="165"/>
      <c r="U375" s="165"/>
      <c r="V375" s="165"/>
      <c r="W375" s="165"/>
      <c r="X375" s="165"/>
      <c r="Y375" s="165"/>
      <c r="Z375" s="165"/>
    </row>
    <row r="376" spans="1:26" ht="12.75" customHeight="1">
      <c r="A376" s="165"/>
      <c r="B376" s="165"/>
      <c r="C376" s="165"/>
      <c r="D376" s="165"/>
      <c r="E376" s="165"/>
      <c r="F376" s="165"/>
      <c r="G376" s="165"/>
      <c r="H376" s="165"/>
      <c r="I376" s="165"/>
      <c r="J376" s="165"/>
      <c r="K376" s="165"/>
      <c r="L376" s="165"/>
      <c r="M376" s="165"/>
      <c r="N376" s="165"/>
      <c r="O376" s="165"/>
      <c r="P376" s="165"/>
      <c r="Q376" s="165"/>
      <c r="R376" s="165"/>
      <c r="S376" s="165"/>
      <c r="T376" s="165"/>
      <c r="U376" s="165"/>
      <c r="V376" s="165"/>
      <c r="W376" s="165"/>
      <c r="X376" s="165"/>
      <c r="Y376" s="165"/>
      <c r="Z376" s="165"/>
    </row>
    <row r="377" spans="1:26" ht="12.75" customHeight="1">
      <c r="A377" s="165"/>
      <c r="B377" s="165"/>
      <c r="C377" s="165"/>
      <c r="D377" s="165"/>
      <c r="E377" s="165"/>
      <c r="F377" s="165"/>
      <c r="G377" s="165"/>
      <c r="H377" s="165"/>
      <c r="I377" s="165"/>
      <c r="J377" s="165"/>
      <c r="K377" s="165"/>
      <c r="L377" s="165"/>
      <c r="M377" s="165"/>
      <c r="N377" s="165"/>
      <c r="O377" s="165"/>
      <c r="P377" s="165"/>
      <c r="Q377" s="165"/>
      <c r="R377" s="165"/>
      <c r="S377" s="165"/>
      <c r="T377" s="165"/>
      <c r="U377" s="165"/>
      <c r="V377" s="165"/>
      <c r="W377" s="165"/>
      <c r="X377" s="165"/>
      <c r="Y377" s="165"/>
      <c r="Z377" s="165"/>
    </row>
    <row r="378" spans="1:26" ht="12.75" customHeight="1">
      <c r="A378" s="165"/>
      <c r="B378" s="165"/>
      <c r="C378" s="165"/>
      <c r="D378" s="165"/>
      <c r="E378" s="165"/>
      <c r="F378" s="165"/>
      <c r="G378" s="165"/>
      <c r="H378" s="165"/>
      <c r="I378" s="165"/>
      <c r="J378" s="165"/>
      <c r="K378" s="165"/>
      <c r="L378" s="165"/>
      <c r="M378" s="165"/>
      <c r="N378" s="165"/>
      <c r="O378" s="165"/>
      <c r="P378" s="165"/>
      <c r="Q378" s="165"/>
      <c r="R378" s="165"/>
      <c r="S378" s="165"/>
      <c r="T378" s="165"/>
      <c r="U378" s="165"/>
      <c r="V378" s="165"/>
      <c r="W378" s="165"/>
      <c r="X378" s="165"/>
      <c r="Y378" s="165"/>
      <c r="Z378" s="165"/>
    </row>
    <row r="379" spans="1:26" ht="12.75" customHeight="1">
      <c r="A379" s="165"/>
      <c r="B379" s="165"/>
      <c r="C379" s="165"/>
      <c r="D379" s="165"/>
      <c r="E379" s="165"/>
      <c r="F379" s="165"/>
      <c r="G379" s="165"/>
      <c r="H379" s="165"/>
      <c r="I379" s="165"/>
      <c r="J379" s="165"/>
      <c r="K379" s="165"/>
      <c r="L379" s="165"/>
      <c r="M379" s="165"/>
      <c r="N379" s="165"/>
      <c r="O379" s="165"/>
      <c r="P379" s="165"/>
      <c r="Q379" s="165"/>
      <c r="R379" s="165"/>
      <c r="S379" s="165"/>
      <c r="T379" s="165"/>
      <c r="U379" s="165"/>
      <c r="V379" s="165"/>
      <c r="W379" s="165"/>
      <c r="X379" s="165"/>
      <c r="Y379" s="165"/>
      <c r="Z379" s="165"/>
    </row>
    <row r="380" spans="1:26" ht="12.75" customHeight="1">
      <c r="A380" s="165"/>
      <c r="B380" s="165"/>
      <c r="C380" s="165"/>
      <c r="D380" s="165"/>
      <c r="E380" s="165"/>
      <c r="F380" s="165"/>
      <c r="G380" s="165"/>
      <c r="H380" s="165"/>
      <c r="I380" s="165"/>
      <c r="J380" s="165"/>
      <c r="K380" s="165"/>
      <c r="L380" s="165"/>
      <c r="M380" s="165"/>
      <c r="N380" s="165"/>
      <c r="O380" s="165"/>
      <c r="P380" s="165"/>
      <c r="Q380" s="165"/>
      <c r="R380" s="165"/>
      <c r="S380" s="165"/>
      <c r="T380" s="165"/>
      <c r="U380" s="165"/>
      <c r="V380" s="165"/>
      <c r="W380" s="165"/>
      <c r="X380" s="165"/>
      <c r="Y380" s="165"/>
      <c r="Z380" s="165"/>
    </row>
    <row r="381" spans="1:26" ht="12.75" customHeight="1">
      <c r="A381" s="165"/>
      <c r="B381" s="165"/>
      <c r="C381" s="165"/>
      <c r="D381" s="165"/>
      <c r="E381" s="165"/>
      <c r="F381" s="165"/>
      <c r="G381" s="165"/>
      <c r="H381" s="165"/>
      <c r="I381" s="165"/>
      <c r="J381" s="165"/>
      <c r="K381" s="165"/>
      <c r="L381" s="165"/>
      <c r="M381" s="165"/>
      <c r="N381" s="165"/>
      <c r="O381" s="165"/>
      <c r="P381" s="165"/>
      <c r="Q381" s="165"/>
      <c r="R381" s="165"/>
      <c r="S381" s="165"/>
      <c r="T381" s="165"/>
      <c r="U381" s="165"/>
      <c r="V381" s="165"/>
      <c r="W381" s="165"/>
      <c r="X381" s="165"/>
      <c r="Y381" s="165"/>
      <c r="Z381" s="165"/>
    </row>
    <row r="382" spans="1:26" ht="12.75" customHeight="1">
      <c r="A382" s="165"/>
      <c r="B382" s="165"/>
      <c r="C382" s="165"/>
      <c r="D382" s="165"/>
      <c r="E382" s="165"/>
      <c r="F382" s="165"/>
      <c r="G382" s="165"/>
      <c r="H382" s="165"/>
      <c r="I382" s="165"/>
      <c r="J382" s="165"/>
      <c r="K382" s="165"/>
      <c r="L382" s="165"/>
      <c r="M382" s="165"/>
      <c r="N382" s="165"/>
      <c r="O382" s="165"/>
      <c r="P382" s="165"/>
      <c r="Q382" s="165"/>
      <c r="R382" s="165"/>
      <c r="S382" s="165"/>
      <c r="T382" s="165"/>
      <c r="U382" s="165"/>
      <c r="V382" s="165"/>
      <c r="W382" s="165"/>
      <c r="X382" s="165"/>
      <c r="Y382" s="165"/>
      <c r="Z382" s="165"/>
    </row>
    <row r="383" spans="1:26" ht="12.75" customHeight="1">
      <c r="A383" s="165"/>
      <c r="B383" s="165"/>
      <c r="C383" s="165"/>
      <c r="D383" s="165"/>
      <c r="E383" s="165"/>
      <c r="F383" s="165"/>
      <c r="G383" s="165"/>
      <c r="H383" s="165"/>
      <c r="I383" s="165"/>
      <c r="J383" s="165"/>
      <c r="K383" s="165"/>
      <c r="L383" s="165"/>
      <c r="M383" s="165"/>
      <c r="N383" s="165"/>
      <c r="O383" s="165"/>
      <c r="P383" s="165"/>
      <c r="Q383" s="165"/>
      <c r="R383" s="165"/>
      <c r="S383" s="165"/>
      <c r="T383" s="165"/>
      <c r="U383" s="165"/>
      <c r="V383" s="165"/>
      <c r="W383" s="165"/>
      <c r="X383" s="165"/>
      <c r="Y383" s="165"/>
      <c r="Z383" s="165"/>
    </row>
    <row r="384" spans="1:26" ht="12.75" customHeight="1">
      <c r="A384" s="165"/>
      <c r="B384" s="165"/>
      <c r="C384" s="165"/>
      <c r="D384" s="165"/>
      <c r="E384" s="165"/>
      <c r="F384" s="165"/>
      <c r="G384" s="165"/>
      <c r="H384" s="165"/>
      <c r="I384" s="165"/>
      <c r="J384" s="165"/>
      <c r="K384" s="165"/>
      <c r="L384" s="165"/>
      <c r="M384" s="165"/>
      <c r="N384" s="165"/>
      <c r="O384" s="165"/>
      <c r="P384" s="165"/>
      <c r="Q384" s="165"/>
      <c r="R384" s="165"/>
      <c r="S384" s="165"/>
      <c r="T384" s="165"/>
      <c r="U384" s="165"/>
      <c r="V384" s="165"/>
      <c r="W384" s="165"/>
      <c r="X384" s="165"/>
      <c r="Y384" s="165"/>
      <c r="Z384" s="165"/>
    </row>
    <row r="385" spans="1:26" ht="12.75" customHeight="1">
      <c r="A385" s="165"/>
      <c r="B385" s="165"/>
      <c r="C385" s="165"/>
      <c r="D385" s="165"/>
      <c r="E385" s="165"/>
      <c r="F385" s="165"/>
      <c r="G385" s="165"/>
      <c r="H385" s="165"/>
      <c r="I385" s="165"/>
      <c r="J385" s="165"/>
      <c r="K385" s="165"/>
      <c r="L385" s="165"/>
      <c r="M385" s="165"/>
      <c r="N385" s="165"/>
      <c r="O385" s="165"/>
      <c r="P385" s="165"/>
      <c r="Q385" s="165"/>
      <c r="R385" s="165"/>
      <c r="S385" s="165"/>
      <c r="T385" s="165"/>
      <c r="U385" s="165"/>
      <c r="V385" s="165"/>
      <c r="W385" s="165"/>
      <c r="X385" s="165"/>
      <c r="Y385" s="165"/>
      <c r="Z385" s="165"/>
    </row>
    <row r="386" spans="1:26" ht="12.75" customHeight="1">
      <c r="A386" s="165"/>
      <c r="B386" s="165"/>
      <c r="C386" s="165"/>
      <c r="D386" s="165"/>
      <c r="E386" s="165"/>
      <c r="F386" s="165"/>
      <c r="G386" s="165"/>
      <c r="H386" s="165"/>
      <c r="I386" s="165"/>
      <c r="J386" s="165"/>
      <c r="K386" s="165"/>
      <c r="L386" s="165"/>
      <c r="M386" s="165"/>
      <c r="N386" s="165"/>
      <c r="O386" s="165"/>
      <c r="P386" s="165"/>
      <c r="Q386" s="165"/>
      <c r="R386" s="165"/>
      <c r="S386" s="165"/>
      <c r="T386" s="165"/>
      <c r="U386" s="165"/>
      <c r="V386" s="165"/>
      <c r="W386" s="165"/>
      <c r="X386" s="165"/>
      <c r="Y386" s="165"/>
      <c r="Z386" s="165"/>
    </row>
    <row r="387" spans="1:26" ht="12.75" customHeight="1">
      <c r="A387" s="165"/>
      <c r="B387" s="165"/>
      <c r="C387" s="165"/>
      <c r="D387" s="165"/>
      <c r="E387" s="165"/>
      <c r="F387" s="165"/>
      <c r="G387" s="165"/>
      <c r="H387" s="165"/>
      <c r="I387" s="165"/>
      <c r="J387" s="165"/>
      <c r="K387" s="165"/>
      <c r="L387" s="165"/>
      <c r="M387" s="165"/>
      <c r="N387" s="165"/>
      <c r="O387" s="165"/>
      <c r="P387" s="165"/>
      <c r="Q387" s="165"/>
      <c r="R387" s="165"/>
      <c r="S387" s="165"/>
      <c r="T387" s="165"/>
      <c r="U387" s="165"/>
      <c r="V387" s="165"/>
      <c r="W387" s="165"/>
      <c r="X387" s="165"/>
      <c r="Y387" s="165"/>
      <c r="Z387" s="165"/>
    </row>
    <row r="388" spans="1:26" ht="12.75" customHeight="1">
      <c r="A388" s="165"/>
      <c r="B388" s="165"/>
      <c r="C388" s="165"/>
      <c r="D388" s="165"/>
      <c r="E388" s="165"/>
      <c r="F388" s="165"/>
      <c r="G388" s="165"/>
      <c r="H388" s="165"/>
      <c r="I388" s="165"/>
      <c r="J388" s="165"/>
      <c r="K388" s="165"/>
      <c r="L388" s="165"/>
      <c r="M388" s="165"/>
      <c r="N388" s="165"/>
      <c r="O388" s="165"/>
      <c r="P388" s="165"/>
      <c r="Q388" s="165"/>
      <c r="R388" s="165"/>
      <c r="S388" s="165"/>
      <c r="T388" s="165"/>
      <c r="U388" s="165"/>
      <c r="V388" s="165"/>
      <c r="W388" s="165"/>
      <c r="X388" s="165"/>
      <c r="Y388" s="165"/>
      <c r="Z388" s="165"/>
    </row>
    <row r="389" spans="1:26" ht="12.75" customHeight="1">
      <c r="A389" s="165"/>
      <c r="B389" s="165"/>
      <c r="C389" s="165"/>
      <c r="D389" s="165"/>
      <c r="E389" s="165"/>
      <c r="F389" s="165"/>
      <c r="G389" s="165"/>
      <c r="H389" s="165"/>
      <c r="I389" s="165"/>
      <c r="J389" s="165"/>
      <c r="K389" s="165"/>
      <c r="L389" s="165"/>
      <c r="M389" s="165"/>
      <c r="N389" s="165"/>
      <c r="O389" s="165"/>
      <c r="P389" s="165"/>
      <c r="Q389" s="165"/>
      <c r="R389" s="165"/>
      <c r="S389" s="165"/>
      <c r="T389" s="165"/>
      <c r="U389" s="165"/>
      <c r="V389" s="165"/>
      <c r="W389" s="165"/>
      <c r="X389" s="165"/>
      <c r="Y389" s="165"/>
      <c r="Z389" s="165"/>
    </row>
    <row r="390" spans="1:26" ht="12.75" customHeight="1">
      <c r="A390" s="165"/>
      <c r="B390" s="165"/>
      <c r="C390" s="165"/>
      <c r="D390" s="165"/>
      <c r="E390" s="165"/>
      <c r="F390" s="165"/>
      <c r="G390" s="165"/>
      <c r="H390" s="165"/>
      <c r="I390" s="165"/>
      <c r="J390" s="165"/>
      <c r="K390" s="165"/>
      <c r="L390" s="165"/>
      <c r="M390" s="165"/>
      <c r="N390" s="165"/>
      <c r="O390" s="165"/>
      <c r="P390" s="165"/>
      <c r="Q390" s="165"/>
      <c r="R390" s="165"/>
      <c r="S390" s="165"/>
      <c r="T390" s="165"/>
      <c r="U390" s="165"/>
      <c r="V390" s="165"/>
      <c r="W390" s="165"/>
      <c r="X390" s="165"/>
      <c r="Y390" s="165"/>
      <c r="Z390" s="165"/>
    </row>
    <row r="391" spans="1:26" ht="12.75" customHeight="1">
      <c r="A391" s="165"/>
      <c r="B391" s="165"/>
      <c r="C391" s="165"/>
      <c r="D391" s="165"/>
      <c r="E391" s="165"/>
      <c r="F391" s="165"/>
      <c r="G391" s="165"/>
      <c r="H391" s="165"/>
      <c r="I391" s="165"/>
      <c r="J391" s="165"/>
      <c r="K391" s="165"/>
      <c r="L391" s="165"/>
      <c r="M391" s="165"/>
      <c r="N391" s="165"/>
      <c r="O391" s="165"/>
      <c r="P391" s="165"/>
      <c r="Q391" s="165"/>
      <c r="R391" s="165"/>
      <c r="S391" s="165"/>
      <c r="T391" s="165"/>
      <c r="U391" s="165"/>
      <c r="V391" s="165"/>
      <c r="W391" s="165"/>
      <c r="X391" s="165"/>
      <c r="Y391" s="165"/>
      <c r="Z391" s="165"/>
    </row>
    <row r="392" spans="1:26" ht="12.75" customHeight="1">
      <c r="A392" s="165"/>
      <c r="B392" s="165"/>
      <c r="C392" s="165"/>
      <c r="D392" s="165"/>
      <c r="E392" s="165"/>
      <c r="F392" s="165"/>
      <c r="G392" s="165"/>
      <c r="H392" s="165"/>
      <c r="I392" s="165"/>
      <c r="J392" s="165"/>
      <c r="K392" s="165"/>
      <c r="L392" s="165"/>
      <c r="M392" s="165"/>
      <c r="N392" s="165"/>
      <c r="O392" s="165"/>
      <c r="P392" s="165"/>
      <c r="Q392" s="165"/>
      <c r="R392" s="165"/>
      <c r="S392" s="165"/>
      <c r="T392" s="165"/>
      <c r="U392" s="165"/>
      <c r="V392" s="165"/>
      <c r="W392" s="165"/>
      <c r="X392" s="165"/>
      <c r="Y392" s="165"/>
      <c r="Z392" s="165"/>
    </row>
    <row r="393" spans="1:26" ht="12.75" customHeight="1">
      <c r="A393" s="165"/>
      <c r="B393" s="165"/>
      <c r="C393" s="165"/>
      <c r="D393" s="165"/>
      <c r="E393" s="165"/>
      <c r="F393" s="165"/>
      <c r="G393" s="165"/>
      <c r="H393" s="165"/>
      <c r="I393" s="165"/>
      <c r="J393" s="165"/>
      <c r="K393" s="165"/>
      <c r="L393" s="165"/>
      <c r="M393" s="165"/>
      <c r="N393" s="165"/>
      <c r="O393" s="165"/>
      <c r="P393" s="165"/>
      <c r="Q393" s="165"/>
      <c r="R393" s="165"/>
      <c r="S393" s="165"/>
      <c r="T393" s="165"/>
      <c r="U393" s="165"/>
      <c r="V393" s="165"/>
      <c r="W393" s="165"/>
      <c r="X393" s="165"/>
      <c r="Y393" s="165"/>
      <c r="Z393" s="165"/>
    </row>
    <row r="394" spans="1:26" ht="12.75" customHeight="1">
      <c r="A394" s="165"/>
      <c r="B394" s="165"/>
      <c r="C394" s="165"/>
      <c r="D394" s="165"/>
      <c r="E394" s="165"/>
      <c r="F394" s="165"/>
      <c r="G394" s="165"/>
      <c r="H394" s="165"/>
      <c r="I394" s="165"/>
      <c r="J394" s="165"/>
      <c r="K394" s="165"/>
      <c r="L394" s="165"/>
      <c r="M394" s="165"/>
      <c r="N394" s="165"/>
      <c r="O394" s="165"/>
      <c r="P394" s="165"/>
      <c r="Q394" s="165"/>
      <c r="R394" s="165"/>
      <c r="S394" s="165"/>
      <c r="T394" s="165"/>
      <c r="U394" s="165"/>
      <c r="V394" s="165"/>
      <c r="W394" s="165"/>
      <c r="X394" s="165"/>
      <c r="Y394" s="165"/>
      <c r="Z394" s="165"/>
    </row>
    <row r="395" spans="1:26" ht="12.75" customHeight="1">
      <c r="A395" s="165"/>
      <c r="B395" s="165"/>
      <c r="C395" s="165"/>
      <c r="D395" s="165"/>
      <c r="E395" s="165"/>
      <c r="F395" s="165"/>
      <c r="G395" s="165"/>
      <c r="H395" s="165"/>
      <c r="I395" s="165"/>
      <c r="J395" s="165"/>
      <c r="K395" s="165"/>
      <c r="L395" s="165"/>
      <c r="M395" s="165"/>
      <c r="N395" s="165"/>
      <c r="O395" s="165"/>
      <c r="P395" s="165"/>
      <c r="Q395" s="165"/>
      <c r="R395" s="165"/>
      <c r="S395" s="165"/>
      <c r="T395" s="165"/>
      <c r="U395" s="165"/>
      <c r="V395" s="165"/>
      <c r="W395" s="165"/>
      <c r="X395" s="165"/>
      <c r="Y395" s="165"/>
      <c r="Z395" s="165"/>
    </row>
    <row r="396" spans="1:26" ht="12.75" customHeight="1">
      <c r="A396" s="165"/>
      <c r="B396" s="165"/>
      <c r="C396" s="165"/>
      <c r="D396" s="165"/>
      <c r="E396" s="165"/>
      <c r="F396" s="165"/>
      <c r="G396" s="165"/>
      <c r="H396" s="165"/>
      <c r="I396" s="165"/>
      <c r="J396" s="165"/>
      <c r="K396" s="165"/>
      <c r="L396" s="165"/>
      <c r="M396" s="165"/>
      <c r="N396" s="165"/>
      <c r="O396" s="165"/>
      <c r="P396" s="165"/>
      <c r="Q396" s="165"/>
      <c r="R396" s="165"/>
      <c r="S396" s="165"/>
      <c r="T396" s="165"/>
      <c r="U396" s="165"/>
      <c r="V396" s="165"/>
      <c r="W396" s="165"/>
      <c r="X396" s="165"/>
      <c r="Y396" s="165"/>
      <c r="Z396" s="165"/>
    </row>
    <row r="397" spans="1:26" ht="12.75" customHeight="1">
      <c r="A397" s="165"/>
      <c r="B397" s="165"/>
      <c r="C397" s="165"/>
      <c r="D397" s="165"/>
      <c r="E397" s="165"/>
      <c r="F397" s="165"/>
      <c r="G397" s="165"/>
      <c r="H397" s="165"/>
      <c r="I397" s="165"/>
      <c r="J397" s="165"/>
      <c r="K397" s="165"/>
      <c r="L397" s="165"/>
      <c r="M397" s="165"/>
      <c r="N397" s="165"/>
      <c r="O397" s="165"/>
      <c r="P397" s="165"/>
      <c r="Q397" s="165"/>
      <c r="R397" s="165"/>
      <c r="S397" s="165"/>
      <c r="T397" s="165"/>
      <c r="U397" s="165"/>
      <c r="V397" s="165"/>
      <c r="W397" s="165"/>
      <c r="X397" s="165"/>
      <c r="Y397" s="165"/>
      <c r="Z397" s="165"/>
    </row>
    <row r="398" spans="1:26" ht="12.75" customHeight="1">
      <c r="A398" s="165"/>
      <c r="B398" s="165"/>
      <c r="C398" s="165"/>
      <c r="D398" s="165"/>
      <c r="E398" s="165"/>
      <c r="F398" s="165"/>
      <c r="G398" s="165"/>
      <c r="H398" s="165"/>
      <c r="I398" s="165"/>
      <c r="J398" s="165"/>
      <c r="K398" s="165"/>
      <c r="L398" s="165"/>
      <c r="M398" s="165"/>
      <c r="N398" s="165"/>
      <c r="O398" s="165"/>
      <c r="P398" s="165"/>
      <c r="Q398" s="165"/>
      <c r="R398" s="165"/>
      <c r="S398" s="165"/>
      <c r="T398" s="165"/>
      <c r="U398" s="165"/>
      <c r="V398" s="165"/>
      <c r="W398" s="165"/>
      <c r="X398" s="165"/>
      <c r="Y398" s="165"/>
      <c r="Z398" s="165"/>
    </row>
    <row r="399" spans="1:26" ht="12.75" customHeight="1">
      <c r="A399" s="165"/>
      <c r="B399" s="165"/>
      <c r="C399" s="165"/>
      <c r="D399" s="165"/>
      <c r="E399" s="165"/>
      <c r="F399" s="165"/>
      <c r="G399" s="165"/>
      <c r="H399" s="165"/>
      <c r="I399" s="165"/>
      <c r="J399" s="165"/>
      <c r="K399" s="165"/>
      <c r="L399" s="165"/>
      <c r="M399" s="165"/>
      <c r="N399" s="165"/>
      <c r="O399" s="165"/>
      <c r="P399" s="165"/>
      <c r="Q399" s="165"/>
      <c r="R399" s="165"/>
      <c r="S399" s="165"/>
      <c r="T399" s="165"/>
      <c r="U399" s="165"/>
      <c r="V399" s="165"/>
      <c r="W399" s="165"/>
      <c r="X399" s="165"/>
      <c r="Y399" s="165"/>
      <c r="Z399" s="165"/>
    </row>
    <row r="400" spans="1:26" ht="12.75" customHeight="1">
      <c r="A400" s="165"/>
      <c r="B400" s="165"/>
      <c r="C400" s="165"/>
      <c r="D400" s="165"/>
      <c r="E400" s="165"/>
      <c r="F400" s="165"/>
      <c r="G400" s="165"/>
      <c r="H400" s="165"/>
      <c r="I400" s="165"/>
      <c r="J400" s="165"/>
      <c r="K400" s="165"/>
      <c r="L400" s="165"/>
      <c r="M400" s="165"/>
      <c r="N400" s="165"/>
      <c r="O400" s="165"/>
      <c r="P400" s="165"/>
      <c r="Q400" s="165"/>
      <c r="R400" s="165"/>
      <c r="S400" s="165"/>
      <c r="T400" s="165"/>
      <c r="U400" s="165"/>
      <c r="V400" s="165"/>
      <c r="W400" s="165"/>
      <c r="X400" s="165"/>
      <c r="Y400" s="165"/>
      <c r="Z400" s="165"/>
    </row>
    <row r="401" spans="1:26" ht="12.75" customHeight="1">
      <c r="A401" s="165"/>
      <c r="B401" s="165"/>
      <c r="C401" s="165"/>
      <c r="D401" s="165"/>
      <c r="E401" s="165"/>
      <c r="F401" s="165"/>
      <c r="G401" s="165"/>
      <c r="H401" s="165"/>
      <c r="I401" s="165"/>
      <c r="J401" s="165"/>
      <c r="K401" s="165"/>
      <c r="L401" s="165"/>
      <c r="M401" s="165"/>
      <c r="N401" s="165"/>
      <c r="O401" s="165"/>
      <c r="P401" s="165"/>
      <c r="Q401" s="165"/>
      <c r="R401" s="165"/>
      <c r="S401" s="165"/>
      <c r="T401" s="165"/>
      <c r="U401" s="165"/>
      <c r="V401" s="165"/>
      <c r="W401" s="165"/>
      <c r="X401" s="165"/>
      <c r="Y401" s="165"/>
      <c r="Z401" s="165"/>
    </row>
    <row r="402" spans="1:26" ht="12.75" customHeight="1">
      <c r="A402" s="165"/>
      <c r="B402" s="165"/>
      <c r="C402" s="165"/>
      <c r="D402" s="165"/>
      <c r="E402" s="165"/>
      <c r="F402" s="165"/>
      <c r="G402" s="165"/>
      <c r="H402" s="165"/>
      <c r="I402" s="165"/>
      <c r="J402" s="165"/>
      <c r="K402" s="165"/>
      <c r="L402" s="165"/>
      <c r="M402" s="165"/>
      <c r="N402" s="165"/>
      <c r="O402" s="165"/>
      <c r="P402" s="165"/>
      <c r="Q402" s="165"/>
      <c r="R402" s="165"/>
      <c r="S402" s="165"/>
      <c r="T402" s="165"/>
      <c r="U402" s="165"/>
      <c r="V402" s="165"/>
      <c r="W402" s="165"/>
      <c r="X402" s="165"/>
      <c r="Y402" s="165"/>
      <c r="Z402" s="165"/>
    </row>
    <row r="403" spans="1:26" ht="12.75" customHeight="1">
      <c r="A403" s="165"/>
      <c r="B403" s="165"/>
      <c r="C403" s="165"/>
      <c r="D403" s="165"/>
      <c r="E403" s="165"/>
      <c r="F403" s="165"/>
      <c r="G403" s="165"/>
      <c r="H403" s="165"/>
      <c r="I403" s="165"/>
      <c r="J403" s="165"/>
      <c r="K403" s="165"/>
      <c r="L403" s="165"/>
      <c r="M403" s="165"/>
      <c r="N403" s="165"/>
      <c r="O403" s="165"/>
      <c r="P403" s="165"/>
      <c r="Q403" s="165"/>
      <c r="R403" s="165"/>
      <c r="S403" s="165"/>
      <c r="T403" s="165"/>
      <c r="U403" s="165"/>
      <c r="V403" s="165"/>
      <c r="W403" s="165"/>
      <c r="X403" s="165"/>
      <c r="Y403" s="165"/>
      <c r="Z403" s="165"/>
    </row>
    <row r="404" spans="1:26" ht="12.75" customHeight="1">
      <c r="A404" s="165"/>
      <c r="B404" s="165"/>
      <c r="C404" s="165"/>
      <c r="D404" s="165"/>
      <c r="E404" s="165"/>
      <c r="F404" s="165"/>
      <c r="G404" s="165"/>
      <c r="H404" s="165"/>
      <c r="I404" s="165"/>
      <c r="J404" s="165"/>
      <c r="K404" s="165"/>
      <c r="L404" s="165"/>
      <c r="M404" s="165"/>
      <c r="N404" s="165"/>
      <c r="O404" s="165"/>
      <c r="P404" s="165"/>
      <c r="Q404" s="165"/>
      <c r="R404" s="165"/>
      <c r="S404" s="165"/>
      <c r="T404" s="165"/>
      <c r="U404" s="165"/>
      <c r="V404" s="165"/>
      <c r="W404" s="165"/>
      <c r="X404" s="165"/>
      <c r="Y404" s="165"/>
      <c r="Z404" s="165"/>
    </row>
    <row r="405" spans="1:26" ht="12.75" customHeight="1">
      <c r="A405" s="165"/>
      <c r="B405" s="165"/>
      <c r="C405" s="165"/>
      <c r="D405" s="165"/>
      <c r="E405" s="165"/>
      <c r="F405" s="165"/>
      <c r="G405" s="165"/>
      <c r="H405" s="165"/>
      <c r="I405" s="165"/>
      <c r="J405" s="165"/>
      <c r="K405" s="165"/>
      <c r="L405" s="165"/>
      <c r="M405" s="165"/>
      <c r="N405" s="165"/>
      <c r="O405" s="165"/>
      <c r="P405" s="165"/>
      <c r="Q405" s="165"/>
      <c r="R405" s="165"/>
      <c r="S405" s="165"/>
      <c r="T405" s="165"/>
      <c r="U405" s="165"/>
      <c r="V405" s="165"/>
      <c r="W405" s="165"/>
      <c r="X405" s="165"/>
      <c r="Y405" s="165"/>
      <c r="Z405" s="165"/>
    </row>
    <row r="406" spans="1:26" ht="12.75" customHeight="1">
      <c r="A406" s="165"/>
      <c r="B406" s="165"/>
      <c r="C406" s="165"/>
      <c r="D406" s="165"/>
      <c r="E406" s="165"/>
      <c r="F406" s="165"/>
      <c r="G406" s="165"/>
      <c r="H406" s="165"/>
      <c r="I406" s="165"/>
      <c r="J406" s="165"/>
      <c r="K406" s="165"/>
      <c r="L406" s="165"/>
      <c r="M406" s="165"/>
      <c r="N406" s="165"/>
      <c r="O406" s="165"/>
      <c r="P406" s="165"/>
      <c r="Q406" s="165"/>
      <c r="R406" s="165"/>
      <c r="S406" s="165"/>
      <c r="T406" s="165"/>
      <c r="U406" s="165"/>
      <c r="V406" s="165"/>
      <c r="W406" s="165"/>
      <c r="X406" s="165"/>
      <c r="Y406" s="165"/>
      <c r="Z406" s="165"/>
    </row>
    <row r="407" spans="1:26" ht="12.75" customHeight="1">
      <c r="A407" s="165"/>
      <c r="B407" s="165"/>
      <c r="C407" s="165"/>
      <c r="D407" s="165"/>
      <c r="E407" s="165"/>
      <c r="F407" s="165"/>
      <c r="G407" s="165"/>
      <c r="H407" s="165"/>
      <c r="I407" s="165"/>
      <c r="J407" s="165"/>
      <c r="K407" s="165"/>
      <c r="L407" s="165"/>
      <c r="M407" s="165"/>
      <c r="N407" s="165"/>
      <c r="O407" s="165"/>
      <c r="P407" s="165"/>
      <c r="Q407" s="165"/>
      <c r="R407" s="165"/>
      <c r="S407" s="165"/>
      <c r="T407" s="165"/>
      <c r="U407" s="165"/>
      <c r="V407" s="165"/>
      <c r="W407" s="165"/>
      <c r="X407" s="165"/>
      <c r="Y407" s="165"/>
      <c r="Z407" s="165"/>
    </row>
    <row r="408" spans="1:26" ht="12.75" customHeight="1">
      <c r="A408" s="165"/>
      <c r="B408" s="165"/>
      <c r="C408" s="165"/>
      <c r="D408" s="165"/>
      <c r="E408" s="165"/>
      <c r="F408" s="165"/>
      <c r="G408" s="165"/>
      <c r="H408" s="165"/>
      <c r="I408" s="165"/>
      <c r="J408" s="165"/>
      <c r="K408" s="165"/>
      <c r="L408" s="165"/>
      <c r="M408" s="165"/>
      <c r="N408" s="165"/>
      <c r="O408" s="165"/>
      <c r="P408" s="165"/>
      <c r="Q408" s="165"/>
      <c r="R408" s="165"/>
      <c r="S408" s="165"/>
      <c r="T408" s="165"/>
      <c r="U408" s="165"/>
      <c r="V408" s="165"/>
      <c r="W408" s="165"/>
      <c r="X408" s="165"/>
      <c r="Y408" s="165"/>
      <c r="Z408" s="165"/>
    </row>
    <row r="409" spans="1:26" ht="12.75" customHeight="1">
      <c r="A409" s="165"/>
      <c r="B409" s="165"/>
      <c r="C409" s="165"/>
      <c r="D409" s="165"/>
      <c r="E409" s="165"/>
      <c r="F409" s="165"/>
      <c r="G409" s="165"/>
      <c r="H409" s="165"/>
      <c r="I409" s="165"/>
      <c r="J409" s="165"/>
      <c r="K409" s="165"/>
      <c r="L409" s="165"/>
      <c r="M409" s="165"/>
      <c r="N409" s="165"/>
      <c r="O409" s="165"/>
      <c r="P409" s="165"/>
      <c r="Q409" s="165"/>
      <c r="R409" s="165"/>
      <c r="S409" s="165"/>
      <c r="T409" s="165"/>
      <c r="U409" s="165"/>
      <c r="V409" s="165"/>
      <c r="W409" s="165"/>
      <c r="X409" s="165"/>
      <c r="Y409" s="165"/>
      <c r="Z409" s="165"/>
    </row>
    <row r="410" spans="1:26" ht="12.75" customHeight="1">
      <c r="A410" s="165"/>
      <c r="B410" s="165"/>
      <c r="C410" s="165"/>
      <c r="D410" s="165"/>
      <c r="E410" s="165"/>
      <c r="F410" s="165"/>
      <c r="G410" s="165"/>
      <c r="H410" s="165"/>
      <c r="I410" s="165"/>
      <c r="J410" s="165"/>
      <c r="K410" s="165"/>
      <c r="L410" s="165"/>
      <c r="M410" s="165"/>
      <c r="N410" s="165"/>
      <c r="O410" s="165"/>
      <c r="P410" s="165"/>
      <c r="Q410" s="165"/>
      <c r="R410" s="165"/>
      <c r="S410" s="165"/>
      <c r="T410" s="165"/>
      <c r="U410" s="165"/>
      <c r="V410" s="165"/>
      <c r="W410" s="165"/>
      <c r="X410" s="165"/>
      <c r="Y410" s="165"/>
      <c r="Z410" s="165"/>
    </row>
    <row r="411" spans="1:26" ht="12.75" customHeight="1">
      <c r="A411" s="165"/>
      <c r="B411" s="165"/>
      <c r="C411" s="165"/>
      <c r="D411" s="165"/>
      <c r="E411" s="165"/>
      <c r="F411" s="165"/>
      <c r="G411" s="165"/>
      <c r="H411" s="165"/>
      <c r="I411" s="165"/>
      <c r="J411" s="165"/>
      <c r="K411" s="165"/>
      <c r="L411" s="165"/>
      <c r="M411" s="165"/>
      <c r="N411" s="165"/>
      <c r="O411" s="165"/>
      <c r="P411" s="165"/>
      <c r="Q411" s="165"/>
      <c r="R411" s="165"/>
      <c r="S411" s="165"/>
      <c r="T411" s="165"/>
      <c r="U411" s="165"/>
      <c r="V411" s="165"/>
      <c r="W411" s="165"/>
      <c r="X411" s="165"/>
      <c r="Y411" s="165"/>
      <c r="Z411" s="165"/>
    </row>
    <row r="412" spans="1:26" ht="12.75" customHeight="1">
      <c r="A412" s="165"/>
      <c r="B412" s="165"/>
      <c r="C412" s="165"/>
      <c r="D412" s="165"/>
      <c r="E412" s="165"/>
      <c r="F412" s="165"/>
      <c r="G412" s="165"/>
      <c r="H412" s="165"/>
      <c r="I412" s="165"/>
      <c r="J412" s="165"/>
      <c r="K412" s="165"/>
      <c r="L412" s="165"/>
      <c r="M412" s="165"/>
      <c r="N412" s="165"/>
      <c r="O412" s="165"/>
      <c r="P412" s="165"/>
      <c r="Q412" s="165"/>
      <c r="R412" s="165"/>
      <c r="S412" s="165"/>
      <c r="T412" s="165"/>
      <c r="U412" s="165"/>
      <c r="V412" s="165"/>
      <c r="W412" s="165"/>
      <c r="X412" s="165"/>
      <c r="Y412" s="165"/>
      <c r="Z412" s="165"/>
    </row>
    <row r="413" spans="1:26" ht="12.75" customHeight="1">
      <c r="A413" s="165"/>
      <c r="B413" s="165"/>
      <c r="C413" s="165"/>
      <c r="D413" s="165"/>
      <c r="E413" s="165"/>
      <c r="F413" s="165"/>
      <c r="G413" s="165"/>
      <c r="H413" s="165"/>
      <c r="I413" s="165"/>
      <c r="J413" s="165"/>
      <c r="K413" s="165"/>
      <c r="L413" s="165"/>
      <c r="M413" s="165"/>
      <c r="N413" s="165"/>
      <c r="O413" s="165"/>
      <c r="P413" s="165"/>
      <c r="Q413" s="165"/>
      <c r="R413" s="165"/>
      <c r="S413" s="165"/>
      <c r="T413" s="165"/>
      <c r="U413" s="165"/>
      <c r="V413" s="165"/>
      <c r="W413" s="165"/>
      <c r="X413" s="165"/>
      <c r="Y413" s="165"/>
      <c r="Z413" s="165"/>
    </row>
    <row r="414" spans="1:26" ht="12.75" customHeight="1">
      <c r="A414" s="165"/>
      <c r="B414" s="165"/>
      <c r="C414" s="165"/>
      <c r="D414" s="165"/>
      <c r="E414" s="165"/>
      <c r="F414" s="165"/>
      <c r="G414" s="165"/>
      <c r="H414" s="165"/>
      <c r="I414" s="165"/>
      <c r="J414" s="165"/>
      <c r="K414" s="165"/>
      <c r="L414" s="165"/>
      <c r="M414" s="165"/>
      <c r="N414" s="165"/>
      <c r="O414" s="165"/>
      <c r="P414" s="165"/>
      <c r="Q414" s="165"/>
      <c r="R414" s="165"/>
      <c r="S414" s="165"/>
      <c r="T414" s="165"/>
      <c r="U414" s="165"/>
      <c r="V414" s="165"/>
      <c r="W414" s="165"/>
      <c r="X414" s="165"/>
      <c r="Y414" s="165"/>
      <c r="Z414" s="165"/>
    </row>
    <row r="415" spans="1:26" ht="12.75" customHeight="1">
      <c r="A415" s="165"/>
      <c r="B415" s="165"/>
      <c r="C415" s="165"/>
      <c r="D415" s="165"/>
      <c r="E415" s="165"/>
      <c r="F415" s="165"/>
      <c r="G415" s="165"/>
      <c r="H415" s="165"/>
      <c r="I415" s="165"/>
      <c r="J415" s="165"/>
      <c r="K415" s="165"/>
      <c r="L415" s="165"/>
      <c r="M415" s="165"/>
      <c r="N415" s="165"/>
      <c r="O415" s="165"/>
      <c r="P415" s="165"/>
      <c r="Q415" s="165"/>
      <c r="R415" s="165"/>
      <c r="S415" s="165"/>
      <c r="T415" s="165"/>
      <c r="U415" s="165"/>
      <c r="V415" s="165"/>
      <c r="W415" s="165"/>
      <c r="X415" s="165"/>
      <c r="Y415" s="165"/>
      <c r="Z415" s="165"/>
    </row>
    <row r="416" spans="1:26" ht="12.75" customHeight="1">
      <c r="A416" s="165"/>
      <c r="B416" s="165"/>
      <c r="C416" s="165"/>
      <c r="D416" s="165"/>
      <c r="E416" s="165"/>
      <c r="F416" s="165"/>
      <c r="G416" s="165"/>
      <c r="H416" s="165"/>
      <c r="I416" s="165"/>
      <c r="J416" s="165"/>
      <c r="K416" s="165"/>
      <c r="L416" s="165"/>
      <c r="M416" s="165"/>
      <c r="N416" s="165"/>
      <c r="O416" s="165"/>
      <c r="P416" s="165"/>
      <c r="Q416" s="165"/>
      <c r="R416" s="165"/>
      <c r="S416" s="165"/>
      <c r="T416" s="165"/>
      <c r="U416" s="165"/>
      <c r="V416" s="165"/>
      <c r="W416" s="165"/>
      <c r="X416" s="165"/>
      <c r="Y416" s="165"/>
      <c r="Z416" s="165"/>
    </row>
    <row r="417" spans="1:26" ht="12.75" customHeight="1">
      <c r="A417" s="165"/>
      <c r="B417" s="165"/>
      <c r="C417" s="165"/>
      <c r="D417" s="165"/>
      <c r="E417" s="165"/>
      <c r="F417" s="165"/>
      <c r="G417" s="165"/>
      <c r="H417" s="165"/>
      <c r="I417" s="165"/>
      <c r="J417" s="165"/>
      <c r="K417" s="165"/>
      <c r="L417" s="165"/>
      <c r="M417" s="165"/>
      <c r="N417" s="165"/>
      <c r="O417" s="165"/>
      <c r="P417" s="165"/>
      <c r="Q417" s="165"/>
      <c r="R417" s="165"/>
      <c r="S417" s="165"/>
      <c r="T417" s="165"/>
      <c r="U417" s="165"/>
      <c r="V417" s="165"/>
      <c r="W417" s="165"/>
      <c r="X417" s="165"/>
      <c r="Y417" s="165"/>
      <c r="Z417" s="165"/>
    </row>
    <row r="418" spans="1:26" ht="12.75" customHeight="1">
      <c r="A418" s="165"/>
      <c r="B418" s="165"/>
      <c r="C418" s="165"/>
      <c r="D418" s="165"/>
      <c r="E418" s="165"/>
      <c r="F418" s="165"/>
      <c r="G418" s="165"/>
      <c r="H418" s="165"/>
      <c r="I418" s="165"/>
      <c r="J418" s="165"/>
      <c r="K418" s="165"/>
      <c r="L418" s="165"/>
      <c r="M418" s="165"/>
      <c r="N418" s="165"/>
      <c r="O418" s="165"/>
      <c r="P418" s="165"/>
      <c r="Q418" s="165"/>
      <c r="R418" s="165"/>
      <c r="S418" s="165"/>
      <c r="T418" s="165"/>
      <c r="U418" s="165"/>
      <c r="V418" s="165"/>
      <c r="W418" s="165"/>
      <c r="X418" s="165"/>
      <c r="Y418" s="165"/>
      <c r="Z418" s="165"/>
    </row>
    <row r="419" spans="1:26" ht="12.75" customHeight="1">
      <c r="A419" s="165"/>
      <c r="B419" s="165"/>
      <c r="C419" s="165"/>
      <c r="D419" s="165"/>
      <c r="E419" s="165"/>
      <c r="F419" s="165"/>
      <c r="G419" s="165"/>
      <c r="H419" s="165"/>
      <c r="I419" s="165"/>
      <c r="J419" s="165"/>
      <c r="K419" s="165"/>
      <c r="L419" s="165"/>
      <c r="M419" s="165"/>
      <c r="N419" s="165"/>
      <c r="O419" s="165"/>
      <c r="P419" s="165"/>
      <c r="Q419" s="165"/>
      <c r="R419" s="165"/>
      <c r="S419" s="165"/>
      <c r="T419" s="165"/>
      <c r="U419" s="165"/>
      <c r="V419" s="165"/>
      <c r="W419" s="165"/>
      <c r="X419" s="165"/>
      <c r="Y419" s="165"/>
      <c r="Z419" s="165"/>
    </row>
    <row r="420" spans="1:26" ht="12.75" customHeight="1">
      <c r="A420" s="165"/>
      <c r="B420" s="165"/>
      <c r="C420" s="165"/>
      <c r="D420" s="165"/>
      <c r="E420" s="165"/>
      <c r="F420" s="165"/>
      <c r="G420" s="165"/>
      <c r="H420" s="165"/>
      <c r="I420" s="165"/>
      <c r="J420" s="165"/>
      <c r="K420" s="165"/>
      <c r="L420" s="165"/>
      <c r="M420" s="165"/>
      <c r="N420" s="165"/>
      <c r="O420" s="165"/>
      <c r="P420" s="165"/>
      <c r="Q420" s="165"/>
      <c r="R420" s="165"/>
      <c r="S420" s="165"/>
      <c r="T420" s="165"/>
      <c r="U420" s="165"/>
      <c r="V420" s="165"/>
      <c r="W420" s="165"/>
      <c r="X420" s="165"/>
      <c r="Y420" s="165"/>
      <c r="Z420" s="165"/>
    </row>
    <row r="421" spans="1:26" ht="12.75" customHeight="1">
      <c r="A421" s="165"/>
      <c r="B421" s="165"/>
      <c r="C421" s="165"/>
      <c r="D421" s="165"/>
      <c r="E421" s="165"/>
      <c r="F421" s="165"/>
      <c r="G421" s="165"/>
      <c r="H421" s="165"/>
      <c r="I421" s="165"/>
      <c r="J421" s="165"/>
      <c r="K421" s="165"/>
      <c r="L421" s="165"/>
      <c r="M421" s="165"/>
      <c r="N421" s="165"/>
      <c r="O421" s="165"/>
      <c r="P421" s="165"/>
      <c r="Q421" s="165"/>
      <c r="R421" s="165"/>
      <c r="S421" s="165"/>
      <c r="T421" s="165"/>
      <c r="U421" s="165"/>
      <c r="V421" s="165"/>
      <c r="W421" s="165"/>
      <c r="X421" s="165"/>
      <c r="Y421" s="165"/>
      <c r="Z421" s="165"/>
    </row>
    <row r="422" spans="1:26" ht="12.75" customHeight="1">
      <c r="A422" s="165"/>
      <c r="B422" s="165"/>
      <c r="C422" s="165"/>
      <c r="D422" s="165"/>
      <c r="E422" s="165"/>
      <c r="F422" s="165"/>
      <c r="G422" s="165"/>
      <c r="H422" s="165"/>
      <c r="I422" s="165"/>
      <c r="J422" s="165"/>
      <c r="K422" s="165"/>
      <c r="L422" s="165"/>
      <c r="M422" s="165"/>
      <c r="N422" s="165"/>
      <c r="O422" s="165"/>
      <c r="P422" s="165"/>
      <c r="Q422" s="165"/>
      <c r="R422" s="165"/>
      <c r="S422" s="165"/>
      <c r="T422" s="165"/>
      <c r="U422" s="165"/>
      <c r="V422" s="165"/>
      <c r="W422" s="165"/>
      <c r="X422" s="165"/>
      <c r="Y422" s="165"/>
      <c r="Z422" s="165"/>
    </row>
    <row r="423" spans="1:26" ht="12.75" customHeight="1">
      <c r="A423" s="165"/>
      <c r="B423" s="165"/>
      <c r="C423" s="165"/>
      <c r="D423" s="165"/>
      <c r="E423" s="165"/>
      <c r="F423" s="165"/>
      <c r="G423" s="165"/>
      <c r="H423" s="165"/>
      <c r="I423" s="165"/>
      <c r="J423" s="165"/>
      <c r="K423" s="165"/>
      <c r="L423" s="165"/>
      <c r="M423" s="165"/>
      <c r="N423" s="165"/>
      <c r="O423" s="165"/>
      <c r="P423" s="165"/>
      <c r="Q423" s="165"/>
      <c r="R423" s="165"/>
      <c r="S423" s="165"/>
      <c r="T423" s="165"/>
      <c r="U423" s="165"/>
      <c r="V423" s="165"/>
      <c r="W423" s="165"/>
      <c r="X423" s="165"/>
      <c r="Y423" s="165"/>
      <c r="Z423" s="165"/>
    </row>
    <row r="424" spans="1:26" ht="12.75" customHeight="1">
      <c r="A424" s="165"/>
      <c r="B424" s="165"/>
      <c r="C424" s="165"/>
      <c r="D424" s="165"/>
      <c r="E424" s="165"/>
      <c r="F424" s="165"/>
      <c r="G424" s="165"/>
      <c r="H424" s="165"/>
      <c r="I424" s="165"/>
      <c r="J424" s="165"/>
      <c r="K424" s="165"/>
      <c r="L424" s="165"/>
      <c r="M424" s="165"/>
      <c r="N424" s="165"/>
      <c r="O424" s="165"/>
      <c r="P424" s="165"/>
      <c r="Q424" s="165"/>
      <c r="R424" s="165"/>
      <c r="S424" s="165"/>
      <c r="T424" s="165"/>
      <c r="U424" s="165"/>
      <c r="V424" s="165"/>
      <c r="W424" s="165"/>
      <c r="X424" s="165"/>
      <c r="Y424" s="165"/>
      <c r="Z424" s="165"/>
    </row>
    <row r="425" spans="1:26" ht="12.75" customHeight="1">
      <c r="A425" s="165"/>
      <c r="B425" s="165"/>
      <c r="C425" s="165"/>
      <c r="D425" s="165"/>
      <c r="E425" s="165"/>
      <c r="F425" s="165"/>
      <c r="G425" s="165"/>
      <c r="H425" s="165"/>
      <c r="I425" s="165"/>
      <c r="J425" s="165"/>
      <c r="K425" s="165"/>
      <c r="L425" s="165"/>
      <c r="M425" s="165"/>
      <c r="N425" s="165"/>
      <c r="O425" s="165"/>
      <c r="P425" s="165"/>
      <c r="Q425" s="165"/>
      <c r="R425" s="165"/>
      <c r="S425" s="165"/>
      <c r="T425" s="165"/>
      <c r="U425" s="165"/>
      <c r="V425" s="165"/>
      <c r="W425" s="165"/>
      <c r="X425" s="165"/>
      <c r="Y425" s="165"/>
      <c r="Z425" s="165"/>
    </row>
    <row r="426" spans="1:26" ht="12.75" customHeight="1">
      <c r="A426" s="165"/>
      <c r="B426" s="165"/>
      <c r="C426" s="165"/>
      <c r="D426" s="165"/>
      <c r="E426" s="165"/>
      <c r="F426" s="165"/>
      <c r="G426" s="165"/>
      <c r="H426" s="165"/>
      <c r="I426" s="165"/>
      <c r="J426" s="165"/>
      <c r="K426" s="165"/>
      <c r="L426" s="165"/>
      <c r="M426" s="165"/>
      <c r="N426" s="165"/>
      <c r="O426" s="165"/>
      <c r="P426" s="165"/>
      <c r="Q426" s="165"/>
      <c r="R426" s="165"/>
      <c r="S426" s="165"/>
      <c r="T426" s="165"/>
      <c r="U426" s="165"/>
      <c r="V426" s="165"/>
      <c r="W426" s="165"/>
      <c r="X426" s="165"/>
      <c r="Y426" s="165"/>
      <c r="Z426" s="165"/>
    </row>
    <row r="427" spans="1:26" ht="12.75" customHeight="1">
      <c r="A427" s="165"/>
      <c r="B427" s="165"/>
      <c r="C427" s="165"/>
      <c r="D427" s="165"/>
      <c r="E427" s="165"/>
      <c r="F427" s="165"/>
      <c r="G427" s="165"/>
      <c r="H427" s="165"/>
      <c r="I427" s="165"/>
      <c r="J427" s="165"/>
      <c r="K427" s="165"/>
      <c r="L427" s="165"/>
      <c r="M427" s="165"/>
      <c r="N427" s="165"/>
      <c r="O427" s="165"/>
      <c r="P427" s="165"/>
      <c r="Q427" s="165"/>
      <c r="R427" s="165"/>
      <c r="S427" s="165"/>
      <c r="T427" s="165"/>
      <c r="U427" s="165"/>
      <c r="V427" s="165"/>
      <c r="W427" s="165"/>
      <c r="X427" s="165"/>
      <c r="Y427" s="165"/>
      <c r="Z427" s="165"/>
    </row>
    <row r="428" spans="1:26" ht="12.75" customHeight="1">
      <c r="A428" s="165"/>
      <c r="B428" s="165"/>
      <c r="C428" s="165"/>
      <c r="D428" s="165"/>
      <c r="E428" s="165"/>
      <c r="F428" s="165"/>
      <c r="G428" s="165"/>
      <c r="H428" s="165"/>
      <c r="I428" s="165"/>
      <c r="J428" s="165"/>
      <c r="K428" s="165"/>
      <c r="L428" s="165"/>
      <c r="M428" s="165"/>
      <c r="N428" s="165"/>
      <c r="O428" s="165"/>
      <c r="P428" s="165"/>
      <c r="Q428" s="165"/>
      <c r="R428" s="165"/>
      <c r="S428" s="165"/>
      <c r="T428" s="165"/>
      <c r="U428" s="165"/>
      <c r="V428" s="165"/>
      <c r="W428" s="165"/>
      <c r="X428" s="165"/>
      <c r="Y428" s="165"/>
      <c r="Z428" s="165"/>
    </row>
    <row r="429" spans="1:26" ht="12.75" customHeight="1">
      <c r="A429" s="165"/>
      <c r="B429" s="165"/>
      <c r="C429" s="165"/>
      <c r="D429" s="165"/>
      <c r="E429" s="165"/>
      <c r="F429" s="165"/>
      <c r="G429" s="165"/>
      <c r="H429" s="165"/>
      <c r="I429" s="165"/>
      <c r="J429" s="165"/>
      <c r="K429" s="165"/>
      <c r="L429" s="165"/>
      <c r="M429" s="165"/>
      <c r="N429" s="165"/>
      <c r="O429" s="165"/>
      <c r="P429" s="165"/>
      <c r="Q429" s="165"/>
      <c r="R429" s="165"/>
      <c r="S429" s="165"/>
      <c r="T429" s="165"/>
      <c r="U429" s="165"/>
      <c r="V429" s="165"/>
      <c r="W429" s="165"/>
      <c r="X429" s="165"/>
      <c r="Y429" s="165"/>
      <c r="Z429" s="165"/>
    </row>
    <row r="430" spans="1:26" ht="12.75" customHeight="1">
      <c r="A430" s="165"/>
      <c r="B430" s="165"/>
      <c r="C430" s="165"/>
      <c r="D430" s="165"/>
      <c r="E430" s="165"/>
      <c r="F430" s="165"/>
      <c r="G430" s="165"/>
      <c r="H430" s="165"/>
      <c r="I430" s="165"/>
      <c r="J430" s="165"/>
      <c r="K430" s="165"/>
      <c r="L430" s="165"/>
      <c r="M430" s="165"/>
      <c r="N430" s="165"/>
      <c r="O430" s="165"/>
      <c r="P430" s="165"/>
      <c r="Q430" s="165"/>
      <c r="R430" s="165"/>
      <c r="S430" s="165"/>
      <c r="T430" s="165"/>
      <c r="U430" s="165"/>
      <c r="V430" s="165"/>
      <c r="W430" s="165"/>
      <c r="X430" s="165"/>
      <c r="Y430" s="165"/>
      <c r="Z430" s="165"/>
    </row>
    <row r="431" spans="1:26" ht="12.75" customHeight="1">
      <c r="A431" s="165"/>
      <c r="B431" s="165"/>
      <c r="C431" s="165"/>
      <c r="D431" s="165"/>
      <c r="E431" s="165"/>
      <c r="F431" s="165"/>
      <c r="G431" s="165"/>
      <c r="H431" s="165"/>
      <c r="I431" s="165"/>
      <c r="J431" s="165"/>
      <c r="K431" s="165"/>
      <c r="L431" s="165"/>
      <c r="M431" s="165"/>
      <c r="N431" s="165"/>
      <c r="O431" s="165"/>
      <c r="P431" s="165"/>
      <c r="Q431" s="165"/>
      <c r="R431" s="165"/>
      <c r="S431" s="165"/>
      <c r="T431" s="165"/>
      <c r="U431" s="165"/>
      <c r="V431" s="165"/>
      <c r="W431" s="165"/>
      <c r="X431" s="165"/>
      <c r="Y431" s="165"/>
      <c r="Z431" s="165"/>
    </row>
    <row r="432" spans="1:26" ht="12.75" customHeight="1">
      <c r="A432" s="165"/>
      <c r="B432" s="165"/>
      <c r="C432" s="165"/>
      <c r="D432" s="165"/>
      <c r="E432" s="165"/>
      <c r="F432" s="165"/>
      <c r="G432" s="165"/>
      <c r="H432" s="165"/>
      <c r="I432" s="165"/>
      <c r="J432" s="165"/>
      <c r="K432" s="165"/>
      <c r="L432" s="165"/>
      <c r="M432" s="165"/>
      <c r="N432" s="165"/>
      <c r="O432" s="165"/>
      <c r="P432" s="165"/>
      <c r="Q432" s="165"/>
      <c r="R432" s="165"/>
      <c r="S432" s="165"/>
      <c r="T432" s="165"/>
      <c r="U432" s="165"/>
      <c r="V432" s="165"/>
      <c r="W432" s="165"/>
      <c r="X432" s="165"/>
      <c r="Y432" s="165"/>
      <c r="Z432" s="165"/>
    </row>
    <row r="433" spans="1:26" ht="12.75" customHeight="1">
      <c r="A433" s="165"/>
      <c r="B433" s="165"/>
      <c r="C433" s="165"/>
      <c r="D433" s="165"/>
      <c r="E433" s="165"/>
      <c r="F433" s="165"/>
      <c r="G433" s="165"/>
      <c r="H433" s="165"/>
      <c r="I433" s="165"/>
      <c r="J433" s="165"/>
      <c r="K433" s="165"/>
      <c r="L433" s="165"/>
      <c r="M433" s="165"/>
      <c r="N433" s="165"/>
      <c r="O433" s="165"/>
      <c r="P433" s="165"/>
      <c r="Q433" s="165"/>
      <c r="R433" s="165"/>
      <c r="S433" s="165"/>
      <c r="T433" s="165"/>
      <c r="U433" s="165"/>
      <c r="V433" s="165"/>
      <c r="W433" s="165"/>
      <c r="X433" s="165"/>
      <c r="Y433" s="165"/>
      <c r="Z433" s="165"/>
    </row>
    <row r="434" spans="1:26" ht="12.75" customHeight="1">
      <c r="A434" s="165"/>
      <c r="B434" s="165"/>
      <c r="C434" s="165"/>
      <c r="D434" s="165"/>
      <c r="E434" s="165"/>
      <c r="F434" s="165"/>
      <c r="G434" s="165"/>
      <c r="H434" s="165"/>
      <c r="I434" s="165"/>
      <c r="J434" s="165"/>
      <c r="K434" s="165"/>
      <c r="L434" s="165"/>
      <c r="M434" s="165"/>
      <c r="N434" s="165"/>
      <c r="O434" s="165"/>
      <c r="P434" s="165"/>
      <c r="Q434" s="165"/>
      <c r="R434" s="165"/>
      <c r="S434" s="165"/>
      <c r="T434" s="165"/>
      <c r="U434" s="165"/>
      <c r="V434" s="165"/>
      <c r="W434" s="165"/>
      <c r="X434" s="165"/>
      <c r="Y434" s="165"/>
      <c r="Z434" s="165"/>
    </row>
    <row r="435" spans="1:26" ht="12.75" customHeight="1">
      <c r="A435" s="165"/>
      <c r="B435" s="165"/>
      <c r="C435" s="165"/>
      <c r="D435" s="165"/>
      <c r="E435" s="165"/>
      <c r="F435" s="165"/>
      <c r="G435" s="165"/>
      <c r="H435" s="165"/>
      <c r="I435" s="165"/>
      <c r="J435" s="165"/>
      <c r="K435" s="165"/>
      <c r="L435" s="165"/>
      <c r="M435" s="165"/>
      <c r="N435" s="165"/>
      <c r="O435" s="165"/>
      <c r="P435" s="165"/>
      <c r="Q435" s="165"/>
      <c r="R435" s="165"/>
      <c r="S435" s="165"/>
      <c r="T435" s="165"/>
      <c r="U435" s="165"/>
      <c r="V435" s="165"/>
      <c r="W435" s="165"/>
      <c r="X435" s="165"/>
      <c r="Y435" s="165"/>
      <c r="Z435" s="165"/>
    </row>
    <row r="436" spans="1:26" ht="12.75" customHeight="1">
      <c r="A436" s="165"/>
      <c r="B436" s="165"/>
      <c r="C436" s="165"/>
      <c r="D436" s="165"/>
      <c r="E436" s="165"/>
      <c r="F436" s="165"/>
      <c r="G436" s="165"/>
      <c r="H436" s="165"/>
      <c r="I436" s="165"/>
      <c r="J436" s="165"/>
      <c r="K436" s="165"/>
      <c r="L436" s="165"/>
      <c r="M436" s="165"/>
      <c r="N436" s="165"/>
      <c r="O436" s="165"/>
      <c r="P436" s="165"/>
      <c r="Q436" s="165"/>
      <c r="R436" s="165"/>
      <c r="S436" s="165"/>
      <c r="T436" s="165"/>
      <c r="U436" s="165"/>
      <c r="V436" s="165"/>
      <c r="W436" s="165"/>
      <c r="X436" s="165"/>
      <c r="Y436" s="165"/>
      <c r="Z436" s="165"/>
    </row>
    <row r="437" spans="1:26" ht="12.75" customHeight="1">
      <c r="A437" s="165"/>
      <c r="B437" s="165"/>
      <c r="C437" s="165"/>
      <c r="D437" s="165"/>
      <c r="E437" s="165"/>
      <c r="F437" s="165"/>
      <c r="G437" s="165"/>
      <c r="H437" s="165"/>
      <c r="I437" s="165"/>
      <c r="J437" s="165"/>
      <c r="K437" s="165"/>
      <c r="L437" s="165"/>
      <c r="M437" s="165"/>
      <c r="N437" s="165"/>
      <c r="O437" s="165"/>
      <c r="P437" s="165"/>
      <c r="Q437" s="165"/>
      <c r="R437" s="165"/>
      <c r="S437" s="165"/>
      <c r="T437" s="165"/>
      <c r="U437" s="165"/>
      <c r="V437" s="165"/>
      <c r="W437" s="165"/>
      <c r="X437" s="165"/>
      <c r="Y437" s="165"/>
      <c r="Z437" s="165"/>
    </row>
    <row r="438" spans="1:26" ht="12.75" customHeight="1">
      <c r="A438" s="165"/>
      <c r="B438" s="165"/>
      <c r="C438" s="165"/>
      <c r="D438" s="165"/>
      <c r="E438" s="165"/>
      <c r="F438" s="165"/>
      <c r="G438" s="165"/>
      <c r="H438" s="165"/>
      <c r="I438" s="165"/>
      <c r="J438" s="165"/>
      <c r="K438" s="165"/>
      <c r="L438" s="165"/>
      <c r="M438" s="165"/>
      <c r="N438" s="165"/>
      <c r="O438" s="165"/>
      <c r="P438" s="165"/>
      <c r="Q438" s="165"/>
      <c r="R438" s="165"/>
      <c r="S438" s="165"/>
      <c r="T438" s="165"/>
      <c r="U438" s="165"/>
      <c r="V438" s="165"/>
      <c r="W438" s="165"/>
      <c r="X438" s="165"/>
      <c r="Y438" s="165"/>
      <c r="Z438" s="165"/>
    </row>
    <row r="439" spans="1:26" ht="12.75" customHeight="1">
      <c r="A439" s="165"/>
      <c r="B439" s="165"/>
      <c r="C439" s="165"/>
      <c r="D439" s="165"/>
      <c r="E439" s="165"/>
      <c r="F439" s="165"/>
      <c r="G439" s="165"/>
      <c r="H439" s="165"/>
      <c r="I439" s="165"/>
      <c r="J439" s="165"/>
      <c r="K439" s="165"/>
      <c r="L439" s="165"/>
      <c r="M439" s="165"/>
      <c r="N439" s="165"/>
      <c r="O439" s="165"/>
      <c r="P439" s="165"/>
      <c r="Q439" s="165"/>
      <c r="R439" s="165"/>
      <c r="S439" s="165"/>
      <c r="T439" s="165"/>
      <c r="U439" s="165"/>
      <c r="V439" s="165"/>
      <c r="W439" s="165"/>
      <c r="X439" s="165"/>
      <c r="Y439" s="165"/>
      <c r="Z439" s="165"/>
    </row>
    <row r="440" spans="1:26" ht="12.75" customHeight="1">
      <c r="A440" s="165"/>
      <c r="B440" s="165"/>
      <c r="C440" s="165"/>
      <c r="D440" s="165"/>
      <c r="E440" s="165"/>
      <c r="F440" s="165"/>
      <c r="G440" s="165"/>
      <c r="H440" s="165"/>
      <c r="I440" s="165"/>
      <c r="J440" s="165"/>
      <c r="K440" s="165"/>
      <c r="L440" s="165"/>
      <c r="M440" s="165"/>
      <c r="N440" s="165"/>
      <c r="O440" s="165"/>
      <c r="P440" s="165"/>
      <c r="Q440" s="165"/>
      <c r="R440" s="165"/>
      <c r="S440" s="165"/>
      <c r="T440" s="165"/>
      <c r="U440" s="165"/>
      <c r="V440" s="165"/>
      <c r="W440" s="165"/>
      <c r="X440" s="165"/>
      <c r="Y440" s="165"/>
      <c r="Z440" s="165"/>
    </row>
    <row r="441" spans="1:26" ht="12.75" customHeight="1">
      <c r="A441" s="165"/>
      <c r="B441" s="165"/>
      <c r="C441" s="165"/>
      <c r="D441" s="165"/>
      <c r="E441" s="165"/>
      <c r="F441" s="165"/>
      <c r="G441" s="165"/>
      <c r="H441" s="165"/>
      <c r="I441" s="165"/>
      <c r="J441" s="165"/>
      <c r="K441" s="165"/>
      <c r="L441" s="165"/>
      <c r="M441" s="165"/>
      <c r="N441" s="165"/>
      <c r="O441" s="165"/>
      <c r="P441" s="165"/>
      <c r="Q441" s="165"/>
      <c r="R441" s="165"/>
      <c r="S441" s="165"/>
      <c r="T441" s="165"/>
      <c r="U441" s="165"/>
      <c r="V441" s="165"/>
      <c r="W441" s="165"/>
      <c r="X441" s="165"/>
      <c r="Y441" s="165"/>
      <c r="Z441" s="165"/>
    </row>
    <row r="442" spans="1:26" ht="12.75" customHeight="1">
      <c r="A442" s="165"/>
      <c r="B442" s="165"/>
      <c r="C442" s="165"/>
      <c r="D442" s="165"/>
      <c r="E442" s="165"/>
      <c r="F442" s="165"/>
      <c r="G442" s="165"/>
      <c r="H442" s="165"/>
      <c r="I442" s="165"/>
      <c r="J442" s="165"/>
      <c r="K442" s="165"/>
      <c r="L442" s="165"/>
      <c r="M442" s="165"/>
      <c r="N442" s="165"/>
      <c r="O442" s="165"/>
      <c r="P442" s="165"/>
      <c r="Q442" s="165"/>
      <c r="R442" s="165"/>
      <c r="S442" s="165"/>
      <c r="T442" s="165"/>
      <c r="U442" s="165"/>
      <c r="V442" s="165"/>
      <c r="W442" s="165"/>
      <c r="X442" s="165"/>
      <c r="Y442" s="165"/>
      <c r="Z442" s="165"/>
    </row>
    <row r="443" spans="1:26" ht="12.75" customHeight="1">
      <c r="A443" s="165"/>
      <c r="B443" s="165"/>
      <c r="C443" s="165"/>
      <c r="D443" s="165"/>
      <c r="E443" s="165"/>
      <c r="F443" s="165"/>
      <c r="G443" s="165"/>
      <c r="H443" s="165"/>
      <c r="I443" s="165"/>
      <c r="J443" s="165"/>
      <c r="K443" s="165"/>
      <c r="L443" s="165"/>
      <c r="M443" s="165"/>
      <c r="N443" s="165"/>
      <c r="O443" s="165"/>
      <c r="P443" s="165"/>
      <c r="Q443" s="165"/>
      <c r="R443" s="165"/>
      <c r="S443" s="165"/>
      <c r="T443" s="165"/>
      <c r="U443" s="165"/>
      <c r="V443" s="165"/>
      <c r="W443" s="165"/>
      <c r="X443" s="165"/>
      <c r="Y443" s="165"/>
      <c r="Z443" s="165"/>
    </row>
    <row r="444" spans="1:26" ht="12.75" customHeight="1">
      <c r="A444" s="165"/>
      <c r="B444" s="165"/>
      <c r="C444" s="165"/>
      <c r="D444" s="165"/>
      <c r="E444" s="165"/>
      <c r="F444" s="165"/>
      <c r="G444" s="165"/>
      <c r="H444" s="165"/>
      <c r="I444" s="165"/>
      <c r="J444" s="165"/>
      <c r="K444" s="165"/>
      <c r="L444" s="165"/>
      <c r="M444" s="165"/>
      <c r="N444" s="165"/>
      <c r="O444" s="165"/>
      <c r="P444" s="165"/>
      <c r="Q444" s="165"/>
      <c r="R444" s="165"/>
      <c r="S444" s="165"/>
      <c r="T444" s="165"/>
      <c r="U444" s="165"/>
      <c r="V444" s="165"/>
      <c r="W444" s="165"/>
      <c r="X444" s="165"/>
      <c r="Y444" s="165"/>
      <c r="Z444" s="165"/>
    </row>
    <row r="445" spans="1:26" ht="12.75" customHeight="1">
      <c r="A445" s="165"/>
      <c r="B445" s="165"/>
      <c r="C445" s="165"/>
      <c r="D445" s="165"/>
      <c r="E445" s="165"/>
      <c r="F445" s="165"/>
      <c r="G445" s="165"/>
      <c r="H445" s="165"/>
      <c r="I445" s="165"/>
      <c r="J445" s="165"/>
      <c r="K445" s="165"/>
      <c r="L445" s="165"/>
      <c r="M445" s="165"/>
      <c r="N445" s="165"/>
      <c r="O445" s="165"/>
      <c r="P445" s="165"/>
      <c r="Q445" s="165"/>
      <c r="R445" s="165"/>
      <c r="S445" s="165"/>
      <c r="T445" s="165"/>
      <c r="U445" s="165"/>
      <c r="V445" s="165"/>
      <c r="W445" s="165"/>
      <c r="X445" s="165"/>
      <c r="Y445" s="165"/>
      <c r="Z445" s="165"/>
    </row>
    <row r="446" spans="1:26" ht="12.75" customHeight="1">
      <c r="A446" s="165"/>
      <c r="B446" s="165"/>
      <c r="C446" s="165"/>
      <c r="D446" s="165"/>
      <c r="E446" s="165"/>
      <c r="F446" s="165"/>
      <c r="G446" s="165"/>
      <c r="H446" s="165"/>
      <c r="I446" s="165"/>
      <c r="J446" s="165"/>
      <c r="K446" s="165"/>
      <c r="L446" s="165"/>
      <c r="M446" s="165"/>
      <c r="N446" s="165"/>
      <c r="O446" s="165"/>
      <c r="P446" s="165"/>
      <c r="Q446" s="165"/>
      <c r="R446" s="165"/>
      <c r="S446" s="165"/>
      <c r="T446" s="165"/>
      <c r="U446" s="165"/>
      <c r="V446" s="165"/>
      <c r="W446" s="165"/>
      <c r="X446" s="165"/>
      <c r="Y446" s="165"/>
      <c r="Z446" s="165"/>
    </row>
    <row r="447" spans="1:26" ht="12.75" customHeight="1">
      <c r="A447" s="165"/>
      <c r="B447" s="165"/>
      <c r="C447" s="165"/>
      <c r="D447" s="165"/>
      <c r="E447" s="165"/>
      <c r="F447" s="165"/>
      <c r="G447" s="165"/>
      <c r="H447" s="165"/>
      <c r="I447" s="165"/>
      <c r="J447" s="165"/>
      <c r="K447" s="165"/>
      <c r="L447" s="165"/>
      <c r="M447" s="165"/>
      <c r="N447" s="165"/>
      <c r="O447" s="165"/>
      <c r="P447" s="165"/>
      <c r="Q447" s="165"/>
      <c r="R447" s="165"/>
      <c r="S447" s="165"/>
      <c r="T447" s="165"/>
      <c r="U447" s="165"/>
      <c r="V447" s="165"/>
      <c r="W447" s="165"/>
      <c r="X447" s="165"/>
      <c r="Y447" s="165"/>
      <c r="Z447" s="165"/>
    </row>
    <row r="448" spans="1:26" ht="12.75" customHeight="1">
      <c r="A448" s="165"/>
      <c r="B448" s="165"/>
      <c r="C448" s="165"/>
      <c r="D448" s="165"/>
      <c r="E448" s="165"/>
      <c r="F448" s="165"/>
      <c r="G448" s="165"/>
      <c r="H448" s="165"/>
      <c r="I448" s="165"/>
      <c r="J448" s="165"/>
      <c r="K448" s="165"/>
      <c r="L448" s="165"/>
      <c r="M448" s="165"/>
      <c r="N448" s="165"/>
      <c r="O448" s="165"/>
      <c r="P448" s="165"/>
      <c r="Q448" s="165"/>
      <c r="R448" s="165"/>
      <c r="S448" s="165"/>
      <c r="T448" s="165"/>
      <c r="U448" s="165"/>
      <c r="V448" s="165"/>
      <c r="W448" s="165"/>
      <c r="X448" s="165"/>
      <c r="Y448" s="165"/>
      <c r="Z448" s="165"/>
    </row>
    <row r="449" spans="1:26" ht="12.75" customHeight="1">
      <c r="A449" s="165"/>
      <c r="B449" s="165"/>
      <c r="C449" s="165"/>
      <c r="D449" s="165"/>
      <c r="E449" s="165"/>
      <c r="F449" s="165"/>
      <c r="G449" s="165"/>
      <c r="H449" s="165"/>
      <c r="I449" s="165"/>
      <c r="J449" s="165"/>
      <c r="K449" s="165"/>
      <c r="L449" s="165"/>
      <c r="M449" s="165"/>
      <c r="N449" s="165"/>
      <c r="O449" s="165"/>
      <c r="P449" s="165"/>
      <c r="Q449" s="165"/>
      <c r="R449" s="165"/>
      <c r="S449" s="165"/>
      <c r="T449" s="165"/>
      <c r="U449" s="165"/>
      <c r="V449" s="165"/>
      <c r="W449" s="165"/>
      <c r="X449" s="165"/>
      <c r="Y449" s="165"/>
      <c r="Z449" s="165"/>
    </row>
    <row r="450" spans="1:26" ht="12.75" customHeight="1">
      <c r="A450" s="165"/>
      <c r="B450" s="165"/>
      <c r="C450" s="165"/>
      <c r="D450" s="165"/>
      <c r="E450" s="165"/>
      <c r="F450" s="165"/>
      <c r="G450" s="165"/>
      <c r="H450" s="165"/>
      <c r="I450" s="165"/>
      <c r="J450" s="165"/>
      <c r="K450" s="165"/>
      <c r="L450" s="165"/>
      <c r="M450" s="165"/>
      <c r="N450" s="165"/>
      <c r="O450" s="165"/>
      <c r="P450" s="165"/>
      <c r="Q450" s="165"/>
      <c r="R450" s="165"/>
      <c r="S450" s="165"/>
      <c r="T450" s="165"/>
      <c r="U450" s="165"/>
      <c r="V450" s="165"/>
      <c r="W450" s="165"/>
      <c r="X450" s="165"/>
      <c r="Y450" s="165"/>
      <c r="Z450" s="165"/>
    </row>
    <row r="451" spans="1:26" ht="12.75" customHeight="1">
      <c r="A451" s="165"/>
      <c r="B451" s="165"/>
      <c r="C451" s="165"/>
      <c r="D451" s="165"/>
      <c r="E451" s="165"/>
      <c r="F451" s="165"/>
      <c r="G451" s="165"/>
      <c r="H451" s="165"/>
      <c r="I451" s="165"/>
      <c r="J451" s="165"/>
      <c r="K451" s="165"/>
      <c r="L451" s="165"/>
      <c r="M451" s="165"/>
      <c r="N451" s="165"/>
      <c r="O451" s="165"/>
      <c r="P451" s="165"/>
      <c r="Q451" s="165"/>
      <c r="R451" s="165"/>
      <c r="S451" s="165"/>
      <c r="T451" s="165"/>
      <c r="U451" s="165"/>
      <c r="V451" s="165"/>
      <c r="W451" s="165"/>
      <c r="X451" s="165"/>
      <c r="Y451" s="165"/>
      <c r="Z451" s="165"/>
    </row>
    <row r="452" spans="1:26" ht="12.75" customHeight="1">
      <c r="A452" s="165"/>
      <c r="B452" s="165"/>
      <c r="C452" s="165"/>
      <c r="D452" s="165"/>
      <c r="E452" s="165"/>
      <c r="F452" s="165"/>
      <c r="G452" s="165"/>
      <c r="H452" s="165"/>
      <c r="I452" s="165"/>
      <c r="J452" s="165"/>
      <c r="K452" s="165"/>
      <c r="L452" s="165"/>
      <c r="M452" s="165"/>
      <c r="N452" s="165"/>
      <c r="O452" s="165"/>
      <c r="P452" s="165"/>
      <c r="Q452" s="165"/>
      <c r="R452" s="165"/>
      <c r="S452" s="165"/>
      <c r="T452" s="165"/>
      <c r="U452" s="165"/>
      <c r="V452" s="165"/>
      <c r="W452" s="165"/>
      <c r="X452" s="165"/>
      <c r="Y452" s="165"/>
      <c r="Z452" s="165"/>
    </row>
    <row r="453" spans="1:26" ht="12.75" customHeight="1">
      <c r="A453" s="165"/>
      <c r="B453" s="165"/>
      <c r="C453" s="165"/>
      <c r="D453" s="165"/>
      <c r="E453" s="165"/>
      <c r="F453" s="165"/>
      <c r="G453" s="165"/>
      <c r="H453" s="165"/>
      <c r="I453" s="165"/>
      <c r="J453" s="165"/>
      <c r="K453" s="165"/>
      <c r="L453" s="165"/>
      <c r="M453" s="165"/>
      <c r="N453" s="165"/>
      <c r="O453" s="165"/>
      <c r="P453" s="165"/>
      <c r="Q453" s="165"/>
      <c r="R453" s="165"/>
      <c r="S453" s="165"/>
      <c r="T453" s="165"/>
      <c r="U453" s="165"/>
      <c r="V453" s="165"/>
      <c r="W453" s="165"/>
      <c r="X453" s="165"/>
      <c r="Y453" s="165"/>
      <c r="Z453" s="165"/>
    </row>
    <row r="454" spans="1:26" ht="12.75" customHeight="1">
      <c r="A454" s="165"/>
      <c r="B454" s="165"/>
      <c r="C454" s="165"/>
      <c r="D454" s="165"/>
      <c r="E454" s="165"/>
      <c r="F454" s="165"/>
      <c r="G454" s="165"/>
      <c r="H454" s="165"/>
      <c r="I454" s="165"/>
      <c r="J454" s="165"/>
      <c r="K454" s="165"/>
      <c r="L454" s="165"/>
      <c r="M454" s="165"/>
      <c r="N454" s="165"/>
      <c r="O454" s="165"/>
      <c r="P454" s="165"/>
      <c r="Q454" s="165"/>
      <c r="R454" s="165"/>
      <c r="S454" s="165"/>
      <c r="T454" s="165"/>
      <c r="U454" s="165"/>
      <c r="V454" s="165"/>
      <c r="W454" s="165"/>
      <c r="X454" s="165"/>
      <c r="Y454" s="165"/>
      <c r="Z454" s="165"/>
    </row>
    <row r="455" spans="1:26" ht="12.75" customHeight="1">
      <c r="A455" s="165"/>
      <c r="B455" s="165"/>
      <c r="C455" s="165"/>
      <c r="D455" s="165"/>
      <c r="E455" s="165"/>
      <c r="F455" s="165"/>
      <c r="G455" s="165"/>
      <c r="H455" s="165"/>
      <c r="I455" s="165"/>
      <c r="J455" s="165"/>
      <c r="K455" s="165"/>
      <c r="L455" s="165"/>
      <c r="M455" s="165"/>
      <c r="N455" s="165"/>
      <c r="O455" s="165"/>
      <c r="P455" s="165"/>
      <c r="Q455" s="165"/>
      <c r="R455" s="165"/>
      <c r="S455" s="165"/>
      <c r="T455" s="165"/>
      <c r="U455" s="165"/>
      <c r="V455" s="165"/>
      <c r="W455" s="165"/>
      <c r="X455" s="165"/>
      <c r="Y455" s="165"/>
      <c r="Z455" s="165"/>
    </row>
    <row r="456" spans="1:26" ht="12.75" customHeight="1">
      <c r="A456" s="165"/>
      <c r="B456" s="165"/>
      <c r="C456" s="165"/>
      <c r="D456" s="165"/>
      <c r="E456" s="165"/>
      <c r="F456" s="165"/>
      <c r="G456" s="165"/>
      <c r="H456" s="165"/>
      <c r="I456" s="165"/>
      <c r="J456" s="165"/>
      <c r="K456" s="165"/>
      <c r="L456" s="165"/>
      <c r="M456" s="165"/>
      <c r="N456" s="165"/>
      <c r="O456" s="165"/>
      <c r="P456" s="165"/>
      <c r="Q456" s="165"/>
      <c r="R456" s="165"/>
      <c r="S456" s="165"/>
      <c r="T456" s="165"/>
      <c r="U456" s="165"/>
      <c r="V456" s="165"/>
      <c r="W456" s="165"/>
      <c r="X456" s="165"/>
      <c r="Y456" s="165"/>
      <c r="Z456" s="165"/>
    </row>
    <row r="457" spans="1:26" ht="12.75" customHeight="1">
      <c r="A457" s="165"/>
      <c r="B457" s="165"/>
      <c r="C457" s="165"/>
      <c r="D457" s="165"/>
      <c r="E457" s="165"/>
      <c r="F457" s="165"/>
      <c r="G457" s="165"/>
      <c r="H457" s="165"/>
      <c r="I457" s="165"/>
      <c r="J457" s="165"/>
      <c r="K457" s="165"/>
      <c r="L457" s="165"/>
      <c r="M457" s="165"/>
      <c r="N457" s="165"/>
      <c r="O457" s="165"/>
      <c r="P457" s="165"/>
      <c r="Q457" s="165"/>
      <c r="R457" s="165"/>
      <c r="S457" s="165"/>
      <c r="T457" s="165"/>
      <c r="U457" s="165"/>
      <c r="V457" s="165"/>
      <c r="W457" s="165"/>
      <c r="X457" s="165"/>
      <c r="Y457" s="165"/>
      <c r="Z457" s="165"/>
    </row>
    <row r="458" spans="1:26" ht="12.75" customHeight="1">
      <c r="A458" s="165"/>
      <c r="B458" s="165"/>
      <c r="C458" s="165"/>
      <c r="D458" s="165"/>
      <c r="E458" s="165"/>
      <c r="F458" s="165"/>
      <c r="G458" s="165"/>
      <c r="H458" s="165"/>
      <c r="I458" s="165"/>
      <c r="J458" s="165"/>
      <c r="K458" s="165"/>
      <c r="L458" s="165"/>
      <c r="M458" s="165"/>
      <c r="N458" s="165"/>
      <c r="O458" s="165"/>
      <c r="P458" s="165"/>
      <c r="Q458" s="165"/>
      <c r="R458" s="165"/>
      <c r="S458" s="165"/>
      <c r="T458" s="165"/>
      <c r="U458" s="165"/>
      <c r="V458" s="165"/>
      <c r="W458" s="165"/>
      <c r="X458" s="165"/>
      <c r="Y458" s="165"/>
      <c r="Z458" s="165"/>
    </row>
    <row r="459" spans="1:26" ht="12.75" customHeight="1">
      <c r="A459" s="165"/>
      <c r="B459" s="165"/>
      <c r="C459" s="165"/>
      <c r="D459" s="165"/>
      <c r="E459" s="165"/>
      <c r="F459" s="165"/>
      <c r="G459" s="165"/>
      <c r="H459" s="165"/>
      <c r="I459" s="165"/>
      <c r="J459" s="165"/>
      <c r="K459" s="165"/>
      <c r="L459" s="165"/>
      <c r="M459" s="165"/>
      <c r="N459" s="165"/>
      <c r="O459" s="165"/>
      <c r="P459" s="165"/>
      <c r="Q459" s="165"/>
      <c r="R459" s="165"/>
      <c r="S459" s="165"/>
      <c r="T459" s="165"/>
      <c r="U459" s="165"/>
      <c r="V459" s="165"/>
      <c r="W459" s="165"/>
      <c r="X459" s="165"/>
      <c r="Y459" s="165"/>
      <c r="Z459" s="165"/>
    </row>
    <row r="460" spans="1:26" ht="12.75" customHeight="1">
      <c r="A460" s="165"/>
      <c r="B460" s="165"/>
      <c r="C460" s="165"/>
      <c r="D460" s="165"/>
      <c r="E460" s="165"/>
      <c r="F460" s="165"/>
      <c r="G460" s="165"/>
      <c r="H460" s="165"/>
      <c r="I460" s="165"/>
      <c r="J460" s="165"/>
      <c r="K460" s="165"/>
      <c r="L460" s="165"/>
      <c r="M460" s="165"/>
      <c r="N460" s="165"/>
      <c r="O460" s="165"/>
      <c r="P460" s="165"/>
      <c r="Q460" s="165"/>
      <c r="R460" s="165"/>
      <c r="S460" s="165"/>
      <c r="T460" s="165"/>
      <c r="U460" s="165"/>
      <c r="V460" s="165"/>
      <c r="W460" s="165"/>
      <c r="X460" s="165"/>
      <c r="Y460" s="165"/>
      <c r="Z460" s="165"/>
    </row>
    <row r="461" spans="1:26" ht="12.75" customHeight="1">
      <c r="A461" s="165"/>
      <c r="B461" s="165"/>
      <c r="C461" s="165"/>
      <c r="D461" s="165"/>
      <c r="E461" s="165"/>
      <c r="F461" s="165"/>
      <c r="G461" s="165"/>
      <c r="H461" s="165"/>
      <c r="I461" s="165"/>
      <c r="J461" s="165"/>
      <c r="K461" s="165"/>
      <c r="L461" s="165"/>
      <c r="M461" s="165"/>
      <c r="N461" s="165"/>
      <c r="O461" s="165"/>
      <c r="P461" s="165"/>
      <c r="Q461" s="165"/>
      <c r="R461" s="165"/>
      <c r="S461" s="165"/>
      <c r="T461" s="165"/>
      <c r="U461" s="165"/>
      <c r="V461" s="165"/>
      <c r="W461" s="165"/>
      <c r="X461" s="165"/>
      <c r="Y461" s="165"/>
      <c r="Z461" s="165"/>
    </row>
    <row r="462" spans="1:26" ht="12.75" customHeight="1">
      <c r="A462" s="165"/>
      <c r="B462" s="165"/>
      <c r="C462" s="165"/>
      <c r="D462" s="165"/>
      <c r="E462" s="165"/>
      <c r="F462" s="165"/>
      <c r="G462" s="165"/>
      <c r="H462" s="165"/>
      <c r="I462" s="165"/>
      <c r="J462" s="165"/>
      <c r="K462" s="165"/>
      <c r="L462" s="165"/>
      <c r="M462" s="165"/>
      <c r="N462" s="165"/>
      <c r="O462" s="165"/>
      <c r="P462" s="165"/>
      <c r="Q462" s="165"/>
      <c r="R462" s="165"/>
      <c r="S462" s="165"/>
      <c r="T462" s="165"/>
      <c r="U462" s="165"/>
      <c r="V462" s="165"/>
      <c r="W462" s="165"/>
      <c r="X462" s="165"/>
      <c r="Y462" s="165"/>
      <c r="Z462" s="165"/>
    </row>
    <row r="463" spans="1:26" ht="12.75" customHeight="1">
      <c r="A463" s="165"/>
      <c r="B463" s="165"/>
      <c r="C463" s="165"/>
      <c r="D463" s="165"/>
      <c r="E463" s="165"/>
      <c r="F463" s="165"/>
      <c r="G463" s="165"/>
      <c r="H463" s="165"/>
      <c r="I463" s="165"/>
      <c r="J463" s="165"/>
      <c r="K463" s="165"/>
      <c r="L463" s="165"/>
      <c r="M463" s="165"/>
      <c r="N463" s="165"/>
      <c r="O463" s="165"/>
      <c r="P463" s="165"/>
      <c r="Q463" s="165"/>
      <c r="R463" s="165"/>
      <c r="S463" s="165"/>
      <c r="T463" s="165"/>
      <c r="U463" s="165"/>
      <c r="V463" s="165"/>
      <c r="W463" s="165"/>
      <c r="X463" s="165"/>
      <c r="Y463" s="165"/>
      <c r="Z463" s="165"/>
    </row>
    <row r="464" spans="1:26" ht="12.75" customHeight="1">
      <c r="A464" s="165"/>
      <c r="B464" s="165"/>
      <c r="C464" s="165"/>
      <c r="D464" s="165"/>
      <c r="E464" s="165"/>
      <c r="F464" s="165"/>
      <c r="G464" s="165"/>
      <c r="H464" s="165"/>
      <c r="I464" s="165"/>
      <c r="J464" s="165"/>
      <c r="K464" s="165"/>
      <c r="L464" s="165"/>
      <c r="M464" s="165"/>
      <c r="N464" s="165"/>
      <c r="O464" s="165"/>
      <c r="P464" s="165"/>
      <c r="Q464" s="165"/>
      <c r="R464" s="165"/>
      <c r="S464" s="165"/>
      <c r="T464" s="165"/>
      <c r="U464" s="165"/>
      <c r="V464" s="165"/>
      <c r="W464" s="165"/>
      <c r="X464" s="165"/>
      <c r="Y464" s="165"/>
      <c r="Z464" s="165"/>
    </row>
    <row r="465" spans="1:26" ht="12.75" customHeight="1">
      <c r="A465" s="165"/>
      <c r="B465" s="165"/>
      <c r="C465" s="165"/>
      <c r="D465" s="165"/>
      <c r="E465" s="165"/>
      <c r="F465" s="165"/>
      <c r="G465" s="165"/>
      <c r="H465" s="165"/>
      <c r="I465" s="165"/>
      <c r="J465" s="165"/>
      <c r="K465" s="165"/>
      <c r="L465" s="165"/>
      <c r="M465" s="165"/>
      <c r="N465" s="165"/>
      <c r="O465" s="165"/>
      <c r="P465" s="165"/>
      <c r="Q465" s="165"/>
      <c r="R465" s="165"/>
      <c r="S465" s="165"/>
      <c r="T465" s="165"/>
      <c r="U465" s="165"/>
      <c r="V465" s="165"/>
      <c r="W465" s="165"/>
      <c r="X465" s="165"/>
      <c r="Y465" s="165"/>
      <c r="Z465" s="165"/>
    </row>
    <row r="466" spans="1:26" ht="12.75" customHeight="1">
      <c r="A466" s="165"/>
      <c r="B466" s="165"/>
      <c r="C466" s="165"/>
      <c r="D466" s="165"/>
      <c r="E466" s="165"/>
      <c r="F466" s="165"/>
      <c r="G466" s="165"/>
      <c r="H466" s="165"/>
      <c r="I466" s="165"/>
      <c r="J466" s="165"/>
      <c r="K466" s="165"/>
      <c r="L466" s="165"/>
      <c r="M466" s="165"/>
      <c r="N466" s="165"/>
      <c r="O466" s="165"/>
      <c r="P466" s="165"/>
      <c r="Q466" s="165"/>
      <c r="R466" s="165"/>
      <c r="S466" s="165"/>
      <c r="T466" s="165"/>
      <c r="U466" s="165"/>
      <c r="V466" s="165"/>
      <c r="W466" s="165"/>
      <c r="X466" s="165"/>
      <c r="Y466" s="165"/>
      <c r="Z466" s="165"/>
    </row>
    <row r="467" spans="1:26" ht="12.75" customHeight="1">
      <c r="A467" s="165"/>
      <c r="B467" s="165"/>
      <c r="C467" s="165"/>
      <c r="D467" s="165"/>
      <c r="E467" s="165"/>
      <c r="F467" s="165"/>
      <c r="G467" s="165"/>
      <c r="H467" s="165"/>
      <c r="I467" s="165"/>
      <c r="J467" s="165"/>
      <c r="K467" s="165"/>
      <c r="L467" s="165"/>
      <c r="M467" s="165"/>
      <c r="N467" s="165"/>
      <c r="O467" s="165"/>
      <c r="P467" s="165"/>
      <c r="Q467" s="165"/>
      <c r="R467" s="165"/>
      <c r="S467" s="165"/>
      <c r="T467" s="165"/>
      <c r="U467" s="165"/>
      <c r="V467" s="165"/>
      <c r="W467" s="165"/>
      <c r="X467" s="165"/>
      <c r="Y467" s="165"/>
      <c r="Z467" s="165"/>
    </row>
    <row r="468" spans="1:26" ht="12.75" customHeight="1">
      <c r="A468" s="165"/>
      <c r="B468" s="165"/>
      <c r="C468" s="165"/>
      <c r="D468" s="165"/>
      <c r="E468" s="165"/>
      <c r="F468" s="165"/>
      <c r="G468" s="165"/>
      <c r="H468" s="165"/>
      <c r="I468" s="165"/>
      <c r="J468" s="165"/>
      <c r="K468" s="165"/>
      <c r="L468" s="165"/>
      <c r="M468" s="165"/>
      <c r="N468" s="165"/>
      <c r="O468" s="165"/>
      <c r="P468" s="165"/>
      <c r="Q468" s="165"/>
      <c r="R468" s="165"/>
      <c r="S468" s="165"/>
      <c r="T468" s="165"/>
      <c r="U468" s="165"/>
      <c r="V468" s="165"/>
      <c r="W468" s="165"/>
      <c r="X468" s="165"/>
      <c r="Y468" s="165"/>
      <c r="Z468" s="165"/>
    </row>
    <row r="469" spans="1:26" ht="12.75" customHeight="1">
      <c r="A469" s="165"/>
      <c r="B469" s="165"/>
      <c r="C469" s="165"/>
      <c r="D469" s="165"/>
      <c r="E469" s="165"/>
      <c r="F469" s="165"/>
      <c r="G469" s="165"/>
      <c r="H469" s="165"/>
      <c r="I469" s="165"/>
      <c r="J469" s="165"/>
      <c r="K469" s="165"/>
      <c r="L469" s="165"/>
      <c r="M469" s="165"/>
      <c r="N469" s="165"/>
      <c r="O469" s="165"/>
      <c r="P469" s="165"/>
      <c r="Q469" s="165"/>
      <c r="R469" s="165"/>
      <c r="S469" s="165"/>
      <c r="T469" s="165"/>
      <c r="U469" s="165"/>
      <c r="V469" s="165"/>
      <c r="W469" s="165"/>
      <c r="X469" s="165"/>
      <c r="Y469" s="165"/>
      <c r="Z469" s="165"/>
    </row>
    <row r="470" spans="1:26" ht="12.75" customHeight="1">
      <c r="A470" s="165"/>
      <c r="B470" s="165"/>
      <c r="C470" s="165"/>
      <c r="D470" s="165"/>
      <c r="E470" s="165"/>
      <c r="F470" s="165"/>
      <c r="G470" s="165"/>
      <c r="H470" s="165"/>
      <c r="I470" s="165"/>
      <c r="J470" s="165"/>
      <c r="K470" s="165"/>
      <c r="L470" s="165"/>
      <c r="M470" s="165"/>
      <c r="N470" s="165"/>
      <c r="O470" s="165"/>
      <c r="P470" s="165"/>
      <c r="Q470" s="165"/>
      <c r="R470" s="165"/>
      <c r="S470" s="165"/>
      <c r="T470" s="165"/>
      <c r="U470" s="165"/>
      <c r="V470" s="165"/>
      <c r="W470" s="165"/>
      <c r="X470" s="165"/>
      <c r="Y470" s="165"/>
      <c r="Z470" s="165"/>
    </row>
    <row r="471" spans="1:26" ht="12.75" customHeight="1">
      <c r="A471" s="165"/>
      <c r="B471" s="165"/>
      <c r="C471" s="165"/>
      <c r="D471" s="165"/>
      <c r="E471" s="165"/>
      <c r="F471" s="165"/>
      <c r="G471" s="165"/>
      <c r="H471" s="165"/>
      <c r="I471" s="165"/>
      <c r="J471" s="165"/>
      <c r="K471" s="165"/>
      <c r="L471" s="165"/>
      <c r="M471" s="165"/>
      <c r="N471" s="165"/>
      <c r="O471" s="165"/>
      <c r="P471" s="165"/>
      <c r="Q471" s="165"/>
      <c r="R471" s="165"/>
      <c r="S471" s="165"/>
      <c r="T471" s="165"/>
      <c r="U471" s="165"/>
      <c r="V471" s="165"/>
      <c r="W471" s="165"/>
      <c r="X471" s="165"/>
      <c r="Y471" s="165"/>
      <c r="Z471" s="165"/>
    </row>
    <row r="472" spans="1:26" ht="12.75" customHeight="1">
      <c r="A472" s="165"/>
      <c r="B472" s="165"/>
      <c r="C472" s="165"/>
      <c r="D472" s="165"/>
      <c r="E472" s="165"/>
      <c r="F472" s="165"/>
      <c r="G472" s="165"/>
      <c r="H472" s="165"/>
      <c r="I472" s="165"/>
      <c r="J472" s="165"/>
      <c r="K472" s="165"/>
      <c r="L472" s="165"/>
      <c r="M472" s="165"/>
      <c r="N472" s="165"/>
      <c r="O472" s="165"/>
      <c r="P472" s="165"/>
      <c r="Q472" s="165"/>
      <c r="R472" s="165"/>
      <c r="S472" s="165"/>
      <c r="T472" s="165"/>
      <c r="U472" s="165"/>
      <c r="V472" s="165"/>
      <c r="W472" s="165"/>
      <c r="X472" s="165"/>
      <c r="Y472" s="165"/>
      <c r="Z472" s="165"/>
    </row>
    <row r="473" spans="1:26" ht="12.75" customHeight="1">
      <c r="A473" s="165"/>
      <c r="B473" s="165"/>
      <c r="C473" s="165"/>
      <c r="D473" s="165"/>
      <c r="E473" s="165"/>
      <c r="F473" s="165"/>
      <c r="G473" s="165"/>
      <c r="H473" s="165"/>
      <c r="I473" s="165"/>
      <c r="J473" s="165"/>
      <c r="K473" s="165"/>
      <c r="L473" s="165"/>
      <c r="M473" s="165"/>
      <c r="N473" s="165"/>
      <c r="O473" s="165"/>
      <c r="P473" s="165"/>
      <c r="Q473" s="165"/>
      <c r="R473" s="165"/>
      <c r="S473" s="165"/>
      <c r="T473" s="165"/>
      <c r="U473" s="165"/>
      <c r="V473" s="165"/>
      <c r="W473" s="165"/>
      <c r="X473" s="165"/>
      <c r="Y473" s="165"/>
      <c r="Z473" s="165"/>
    </row>
    <row r="474" spans="1:26" ht="12.75" customHeight="1">
      <c r="A474" s="165"/>
      <c r="B474" s="165"/>
      <c r="C474" s="165"/>
      <c r="D474" s="165"/>
      <c r="E474" s="165"/>
      <c r="F474" s="165"/>
      <c r="G474" s="165"/>
      <c r="H474" s="165"/>
      <c r="I474" s="165"/>
      <c r="J474" s="165"/>
      <c r="K474" s="165"/>
      <c r="L474" s="165"/>
      <c r="M474" s="165"/>
      <c r="N474" s="165"/>
      <c r="O474" s="165"/>
      <c r="P474" s="165"/>
      <c r="Q474" s="165"/>
      <c r="R474" s="165"/>
      <c r="S474" s="165"/>
      <c r="T474" s="165"/>
      <c r="U474" s="165"/>
      <c r="V474" s="165"/>
      <c r="W474" s="165"/>
      <c r="X474" s="165"/>
      <c r="Y474" s="165"/>
      <c r="Z474" s="165"/>
    </row>
    <row r="475" spans="1:26" ht="12.75" customHeight="1">
      <c r="A475" s="165"/>
      <c r="B475" s="165"/>
      <c r="C475" s="165"/>
      <c r="D475" s="165"/>
      <c r="E475" s="165"/>
      <c r="F475" s="165"/>
      <c r="G475" s="165"/>
      <c r="H475" s="165"/>
      <c r="I475" s="165"/>
      <c r="J475" s="165"/>
      <c r="K475" s="165"/>
      <c r="L475" s="165"/>
      <c r="M475" s="165"/>
      <c r="N475" s="165"/>
      <c r="O475" s="165"/>
      <c r="P475" s="165"/>
      <c r="Q475" s="165"/>
      <c r="R475" s="165"/>
      <c r="S475" s="165"/>
      <c r="T475" s="165"/>
      <c r="U475" s="165"/>
      <c r="V475" s="165"/>
      <c r="W475" s="165"/>
      <c r="X475" s="165"/>
      <c r="Y475" s="165"/>
      <c r="Z475" s="165"/>
    </row>
    <row r="476" spans="1:26" ht="12.75" customHeight="1">
      <c r="A476" s="165"/>
      <c r="B476" s="165"/>
      <c r="C476" s="165"/>
      <c r="D476" s="165"/>
      <c r="E476" s="165"/>
      <c r="F476" s="165"/>
      <c r="G476" s="165"/>
      <c r="H476" s="165"/>
      <c r="I476" s="165"/>
      <c r="J476" s="165"/>
      <c r="K476" s="165"/>
      <c r="L476" s="165"/>
      <c r="M476" s="165"/>
      <c r="N476" s="165"/>
      <c r="O476" s="165"/>
      <c r="P476" s="165"/>
      <c r="Q476" s="165"/>
      <c r="R476" s="165"/>
      <c r="S476" s="165"/>
      <c r="T476" s="165"/>
      <c r="U476" s="165"/>
      <c r="V476" s="165"/>
      <c r="W476" s="165"/>
      <c r="X476" s="165"/>
      <c r="Y476" s="165"/>
      <c r="Z476" s="165"/>
    </row>
    <row r="477" spans="1:26" ht="12.75" customHeight="1">
      <c r="A477" s="165"/>
      <c r="B477" s="165"/>
      <c r="C477" s="165"/>
      <c r="D477" s="165"/>
      <c r="E477" s="165"/>
      <c r="F477" s="165"/>
      <c r="G477" s="165"/>
      <c r="H477" s="165"/>
      <c r="I477" s="165"/>
      <c r="J477" s="165"/>
      <c r="K477" s="165"/>
      <c r="L477" s="165"/>
      <c r="M477" s="165"/>
      <c r="N477" s="165"/>
      <c r="O477" s="165"/>
      <c r="P477" s="165"/>
      <c r="Q477" s="165"/>
      <c r="R477" s="165"/>
      <c r="S477" s="165"/>
      <c r="T477" s="165"/>
      <c r="U477" s="165"/>
      <c r="V477" s="165"/>
      <c r="W477" s="165"/>
      <c r="X477" s="165"/>
      <c r="Y477" s="165"/>
      <c r="Z477" s="165"/>
    </row>
    <row r="478" spans="1:26" ht="12.75" customHeight="1">
      <c r="A478" s="165"/>
      <c r="B478" s="165"/>
      <c r="C478" s="165"/>
      <c r="D478" s="165"/>
      <c r="E478" s="165"/>
      <c r="F478" s="165"/>
      <c r="G478" s="165"/>
      <c r="H478" s="165"/>
      <c r="I478" s="165"/>
      <c r="J478" s="165"/>
      <c r="K478" s="165"/>
      <c r="L478" s="165"/>
      <c r="M478" s="165"/>
      <c r="N478" s="165"/>
      <c r="O478" s="165"/>
      <c r="P478" s="165"/>
      <c r="Q478" s="165"/>
      <c r="R478" s="165"/>
      <c r="S478" s="165"/>
      <c r="T478" s="165"/>
      <c r="U478" s="165"/>
      <c r="V478" s="165"/>
      <c r="W478" s="165"/>
      <c r="X478" s="165"/>
      <c r="Y478" s="165"/>
      <c r="Z478" s="165"/>
    </row>
    <row r="479" spans="1:26" ht="12.75" customHeight="1">
      <c r="A479" s="165"/>
      <c r="B479" s="165"/>
      <c r="C479" s="165"/>
      <c r="D479" s="165"/>
      <c r="E479" s="165"/>
      <c r="F479" s="165"/>
      <c r="G479" s="165"/>
      <c r="H479" s="165"/>
      <c r="I479" s="165"/>
      <c r="J479" s="165"/>
      <c r="K479" s="165"/>
      <c r="L479" s="165"/>
      <c r="M479" s="165"/>
      <c r="N479" s="165"/>
      <c r="O479" s="165"/>
      <c r="P479" s="165"/>
      <c r="Q479" s="165"/>
      <c r="R479" s="165"/>
      <c r="S479" s="165"/>
      <c r="T479" s="165"/>
      <c r="U479" s="165"/>
      <c r="V479" s="165"/>
      <c r="W479" s="165"/>
      <c r="X479" s="165"/>
      <c r="Y479" s="165"/>
      <c r="Z479" s="165"/>
    </row>
    <row r="480" spans="1:26" ht="12.75" customHeight="1">
      <c r="A480" s="165"/>
      <c r="B480" s="165"/>
      <c r="C480" s="165"/>
      <c r="D480" s="165"/>
      <c r="E480" s="165"/>
      <c r="F480" s="165"/>
      <c r="G480" s="165"/>
      <c r="H480" s="165"/>
      <c r="I480" s="165"/>
      <c r="J480" s="165"/>
      <c r="K480" s="165"/>
      <c r="L480" s="165"/>
      <c r="M480" s="165"/>
      <c r="N480" s="165"/>
      <c r="O480" s="165"/>
      <c r="P480" s="165"/>
      <c r="Q480" s="165"/>
      <c r="R480" s="165"/>
      <c r="S480" s="165"/>
      <c r="T480" s="165"/>
      <c r="U480" s="165"/>
      <c r="V480" s="165"/>
      <c r="W480" s="165"/>
      <c r="X480" s="165"/>
      <c r="Y480" s="165"/>
      <c r="Z480" s="165"/>
    </row>
    <row r="481" spans="1:26" ht="12.75" customHeight="1">
      <c r="A481" s="165"/>
      <c r="B481" s="165"/>
      <c r="C481" s="165"/>
      <c r="D481" s="165"/>
      <c r="E481" s="165"/>
      <c r="F481" s="165"/>
      <c r="G481" s="165"/>
      <c r="H481" s="165"/>
      <c r="I481" s="165"/>
      <c r="J481" s="165"/>
      <c r="K481" s="165"/>
      <c r="L481" s="165"/>
      <c r="M481" s="165"/>
      <c r="N481" s="165"/>
      <c r="O481" s="165"/>
      <c r="P481" s="165"/>
      <c r="Q481" s="165"/>
      <c r="R481" s="165"/>
      <c r="S481" s="165"/>
      <c r="T481" s="165"/>
      <c r="U481" s="165"/>
      <c r="V481" s="165"/>
      <c r="W481" s="165"/>
      <c r="X481" s="165"/>
      <c r="Y481" s="165"/>
      <c r="Z481" s="165"/>
    </row>
    <row r="482" spans="1:26" ht="12.75" customHeight="1">
      <c r="A482" s="165"/>
      <c r="B482" s="165"/>
      <c r="C482" s="165"/>
      <c r="D482" s="165"/>
      <c r="E482" s="165"/>
      <c r="F482" s="165"/>
      <c r="G482" s="165"/>
      <c r="H482" s="165"/>
      <c r="I482" s="165"/>
      <c r="J482" s="165"/>
      <c r="K482" s="165"/>
      <c r="L482" s="165"/>
      <c r="M482" s="165"/>
      <c r="N482" s="165"/>
      <c r="O482" s="165"/>
      <c r="P482" s="165"/>
      <c r="Q482" s="165"/>
      <c r="R482" s="165"/>
      <c r="S482" s="165"/>
      <c r="T482" s="165"/>
      <c r="U482" s="165"/>
      <c r="V482" s="165"/>
      <c r="W482" s="165"/>
      <c r="X482" s="165"/>
      <c r="Y482" s="165"/>
      <c r="Z482" s="165"/>
    </row>
    <row r="483" spans="1:26" ht="12.75" customHeight="1">
      <c r="A483" s="165"/>
      <c r="B483" s="165"/>
      <c r="C483" s="165"/>
      <c r="D483" s="165"/>
      <c r="E483" s="165"/>
      <c r="F483" s="165"/>
      <c r="G483" s="165"/>
      <c r="H483" s="165"/>
      <c r="I483" s="165"/>
      <c r="J483" s="165"/>
      <c r="K483" s="165"/>
      <c r="L483" s="165"/>
      <c r="M483" s="165"/>
      <c r="N483" s="165"/>
      <c r="O483" s="165"/>
      <c r="P483" s="165"/>
      <c r="Q483" s="165"/>
      <c r="R483" s="165"/>
      <c r="S483" s="165"/>
      <c r="T483" s="165"/>
      <c r="U483" s="165"/>
      <c r="V483" s="165"/>
      <c r="W483" s="165"/>
      <c r="X483" s="165"/>
      <c r="Y483" s="165"/>
      <c r="Z483" s="165"/>
    </row>
    <row r="484" spans="1:26" ht="12.75" customHeight="1">
      <c r="A484" s="165"/>
      <c r="B484" s="165"/>
      <c r="C484" s="165"/>
      <c r="D484" s="165"/>
      <c r="E484" s="165"/>
      <c r="F484" s="165"/>
      <c r="G484" s="165"/>
      <c r="H484" s="165"/>
      <c r="I484" s="165"/>
      <c r="J484" s="165"/>
      <c r="K484" s="165"/>
      <c r="L484" s="165"/>
      <c r="M484" s="165"/>
      <c r="N484" s="165"/>
      <c r="O484" s="165"/>
      <c r="P484" s="165"/>
      <c r="Q484" s="165"/>
      <c r="R484" s="165"/>
      <c r="S484" s="165"/>
      <c r="T484" s="165"/>
      <c r="U484" s="165"/>
      <c r="V484" s="165"/>
      <c r="W484" s="165"/>
      <c r="X484" s="165"/>
      <c r="Y484" s="165"/>
      <c r="Z484" s="165"/>
    </row>
    <row r="485" spans="1:26" ht="12.75" customHeight="1">
      <c r="A485" s="165"/>
      <c r="B485" s="165"/>
      <c r="C485" s="165"/>
      <c r="D485" s="165"/>
      <c r="E485" s="165"/>
      <c r="F485" s="165"/>
      <c r="G485" s="165"/>
      <c r="H485" s="165"/>
      <c r="I485" s="165"/>
      <c r="J485" s="165"/>
      <c r="K485" s="165"/>
      <c r="L485" s="165"/>
      <c r="M485" s="165"/>
      <c r="N485" s="165"/>
      <c r="O485" s="165"/>
      <c r="P485" s="165"/>
      <c r="Q485" s="165"/>
      <c r="R485" s="165"/>
      <c r="S485" s="165"/>
      <c r="T485" s="165"/>
      <c r="U485" s="165"/>
      <c r="V485" s="165"/>
      <c r="W485" s="165"/>
      <c r="X485" s="165"/>
      <c r="Y485" s="165"/>
      <c r="Z485" s="165"/>
    </row>
    <row r="486" spans="1:26" ht="12.75" customHeight="1">
      <c r="A486" s="165"/>
      <c r="B486" s="165"/>
      <c r="C486" s="165"/>
      <c r="D486" s="165"/>
      <c r="E486" s="165"/>
      <c r="F486" s="165"/>
      <c r="G486" s="165"/>
      <c r="H486" s="165"/>
      <c r="I486" s="165"/>
      <c r="J486" s="165"/>
      <c r="K486" s="165"/>
      <c r="L486" s="165"/>
      <c r="M486" s="165"/>
      <c r="N486" s="165"/>
      <c r="O486" s="165"/>
      <c r="P486" s="165"/>
      <c r="Q486" s="165"/>
      <c r="R486" s="165"/>
      <c r="S486" s="165"/>
      <c r="T486" s="165"/>
      <c r="U486" s="165"/>
      <c r="V486" s="165"/>
      <c r="W486" s="165"/>
      <c r="X486" s="165"/>
      <c r="Y486" s="165"/>
      <c r="Z486" s="165"/>
    </row>
    <row r="487" spans="1:26" ht="12.75" customHeight="1">
      <c r="A487" s="165"/>
      <c r="B487" s="165"/>
      <c r="C487" s="165"/>
      <c r="D487" s="165"/>
      <c r="E487" s="165"/>
      <c r="F487" s="165"/>
      <c r="G487" s="165"/>
      <c r="H487" s="165"/>
      <c r="I487" s="165"/>
      <c r="J487" s="165"/>
      <c r="K487" s="165"/>
      <c r="L487" s="165"/>
      <c r="M487" s="165"/>
      <c r="N487" s="165"/>
      <c r="O487" s="165"/>
      <c r="P487" s="165"/>
      <c r="Q487" s="165"/>
      <c r="R487" s="165"/>
      <c r="S487" s="165"/>
      <c r="T487" s="165"/>
      <c r="U487" s="165"/>
      <c r="V487" s="165"/>
      <c r="W487" s="165"/>
      <c r="X487" s="165"/>
      <c r="Y487" s="165"/>
      <c r="Z487" s="165"/>
    </row>
    <row r="488" spans="1:26" ht="12.75" customHeight="1">
      <c r="A488" s="165"/>
      <c r="B488" s="165"/>
      <c r="C488" s="165"/>
      <c r="D488" s="165"/>
      <c r="E488" s="165"/>
      <c r="F488" s="165"/>
      <c r="G488" s="165"/>
      <c r="H488" s="165"/>
      <c r="I488" s="165"/>
      <c r="J488" s="165"/>
      <c r="K488" s="165"/>
      <c r="L488" s="165"/>
      <c r="M488" s="165"/>
      <c r="N488" s="165"/>
      <c r="O488" s="165"/>
      <c r="P488" s="165"/>
      <c r="Q488" s="165"/>
      <c r="R488" s="165"/>
      <c r="S488" s="165"/>
      <c r="T488" s="165"/>
      <c r="U488" s="165"/>
      <c r="V488" s="165"/>
      <c r="W488" s="165"/>
      <c r="X488" s="165"/>
      <c r="Y488" s="165"/>
      <c r="Z488" s="165"/>
    </row>
    <row r="489" spans="1:26" ht="12.75" customHeight="1">
      <c r="A489" s="165"/>
      <c r="B489" s="165"/>
      <c r="C489" s="165"/>
      <c r="D489" s="165"/>
      <c r="E489" s="165"/>
      <c r="F489" s="165"/>
      <c r="G489" s="165"/>
      <c r="H489" s="165"/>
      <c r="I489" s="165"/>
      <c r="J489" s="165"/>
      <c r="K489" s="165"/>
      <c r="L489" s="165"/>
      <c r="M489" s="165"/>
      <c r="N489" s="165"/>
      <c r="O489" s="165"/>
      <c r="P489" s="165"/>
      <c r="Q489" s="165"/>
      <c r="R489" s="165"/>
      <c r="S489" s="165"/>
      <c r="T489" s="165"/>
      <c r="U489" s="165"/>
      <c r="V489" s="165"/>
      <c r="W489" s="165"/>
      <c r="X489" s="165"/>
      <c r="Y489" s="165"/>
      <c r="Z489" s="165"/>
    </row>
    <row r="490" spans="1:26" ht="12.75" customHeight="1">
      <c r="A490" s="165"/>
      <c r="B490" s="165"/>
      <c r="C490" s="165"/>
      <c r="D490" s="165"/>
      <c r="E490" s="165"/>
      <c r="F490" s="165"/>
      <c r="G490" s="165"/>
      <c r="H490" s="165"/>
      <c r="I490" s="165"/>
      <c r="J490" s="165"/>
      <c r="K490" s="165"/>
      <c r="L490" s="165"/>
      <c r="M490" s="165"/>
      <c r="N490" s="165"/>
      <c r="O490" s="165"/>
      <c r="P490" s="165"/>
      <c r="Q490" s="165"/>
      <c r="R490" s="165"/>
      <c r="S490" s="165"/>
      <c r="T490" s="165"/>
      <c r="U490" s="165"/>
      <c r="V490" s="165"/>
      <c r="W490" s="165"/>
      <c r="X490" s="165"/>
      <c r="Y490" s="165"/>
      <c r="Z490" s="165"/>
    </row>
    <row r="491" spans="1:26" ht="12.75" customHeight="1">
      <c r="A491" s="165"/>
      <c r="B491" s="165"/>
      <c r="C491" s="165"/>
      <c r="D491" s="165"/>
      <c r="E491" s="165"/>
      <c r="F491" s="165"/>
      <c r="G491" s="165"/>
      <c r="H491" s="165"/>
      <c r="I491" s="165"/>
      <c r="J491" s="165"/>
      <c r="K491" s="165"/>
      <c r="L491" s="165"/>
      <c r="M491" s="165"/>
      <c r="N491" s="165"/>
      <c r="O491" s="165"/>
      <c r="P491" s="165"/>
      <c r="Q491" s="165"/>
      <c r="R491" s="165"/>
      <c r="S491" s="165"/>
      <c r="T491" s="165"/>
      <c r="U491" s="165"/>
      <c r="V491" s="165"/>
      <c r="W491" s="165"/>
      <c r="X491" s="165"/>
      <c r="Y491" s="165"/>
      <c r="Z491" s="165"/>
    </row>
    <row r="492" spans="1:26" ht="12.75" customHeight="1">
      <c r="A492" s="165"/>
      <c r="B492" s="165"/>
      <c r="C492" s="165"/>
      <c r="D492" s="165"/>
      <c r="E492" s="165"/>
      <c r="F492" s="165"/>
      <c r="G492" s="165"/>
      <c r="H492" s="165"/>
      <c r="I492" s="165"/>
      <c r="J492" s="165"/>
      <c r="K492" s="165"/>
      <c r="L492" s="165"/>
      <c r="M492" s="165"/>
      <c r="N492" s="165"/>
      <c r="O492" s="165"/>
      <c r="P492" s="165"/>
      <c r="Q492" s="165"/>
      <c r="R492" s="165"/>
      <c r="S492" s="165"/>
      <c r="T492" s="165"/>
      <c r="U492" s="165"/>
      <c r="V492" s="165"/>
      <c r="W492" s="165"/>
      <c r="X492" s="165"/>
      <c r="Y492" s="165"/>
      <c r="Z492" s="165"/>
    </row>
    <row r="493" spans="1:26" ht="12.75" customHeight="1">
      <c r="A493" s="165"/>
      <c r="B493" s="165"/>
      <c r="C493" s="165"/>
      <c r="D493" s="165"/>
      <c r="E493" s="165"/>
      <c r="F493" s="165"/>
      <c r="G493" s="165"/>
      <c r="H493" s="165"/>
      <c r="I493" s="165"/>
      <c r="J493" s="165"/>
      <c r="K493" s="165"/>
      <c r="L493" s="165"/>
      <c r="M493" s="165"/>
      <c r="N493" s="165"/>
      <c r="O493" s="165"/>
      <c r="P493" s="165"/>
      <c r="Q493" s="165"/>
      <c r="R493" s="165"/>
      <c r="S493" s="165"/>
      <c r="T493" s="165"/>
      <c r="U493" s="165"/>
      <c r="V493" s="165"/>
      <c r="W493" s="165"/>
      <c r="X493" s="165"/>
      <c r="Y493" s="165"/>
      <c r="Z493" s="165"/>
    </row>
    <row r="494" spans="1:26" ht="12.75" customHeight="1">
      <c r="A494" s="165"/>
      <c r="B494" s="165"/>
      <c r="C494" s="165"/>
      <c r="D494" s="165"/>
      <c r="E494" s="165"/>
      <c r="F494" s="165"/>
      <c r="G494" s="165"/>
      <c r="H494" s="165"/>
      <c r="I494" s="165"/>
      <c r="J494" s="165"/>
      <c r="K494" s="165"/>
      <c r="L494" s="165"/>
      <c r="M494" s="165"/>
      <c r="N494" s="165"/>
      <c r="O494" s="165"/>
      <c r="P494" s="165"/>
      <c r="Q494" s="165"/>
      <c r="R494" s="165"/>
      <c r="S494" s="165"/>
      <c r="T494" s="165"/>
      <c r="U494" s="165"/>
      <c r="V494" s="165"/>
      <c r="W494" s="165"/>
      <c r="X494" s="165"/>
      <c r="Y494" s="165"/>
      <c r="Z494" s="165"/>
    </row>
    <row r="495" spans="1:26" ht="12.75" customHeight="1">
      <c r="A495" s="165"/>
      <c r="B495" s="165"/>
      <c r="C495" s="165"/>
      <c r="D495" s="165"/>
      <c r="E495" s="165"/>
      <c r="F495" s="165"/>
      <c r="G495" s="165"/>
      <c r="H495" s="165"/>
      <c r="I495" s="165"/>
      <c r="J495" s="165"/>
      <c r="K495" s="165"/>
      <c r="L495" s="165"/>
      <c r="M495" s="165"/>
      <c r="N495" s="165"/>
      <c r="O495" s="165"/>
      <c r="P495" s="165"/>
      <c r="Q495" s="165"/>
      <c r="R495" s="165"/>
      <c r="S495" s="165"/>
      <c r="T495" s="165"/>
      <c r="U495" s="165"/>
      <c r="V495" s="165"/>
      <c r="W495" s="165"/>
      <c r="X495" s="165"/>
      <c r="Y495" s="165"/>
      <c r="Z495" s="165"/>
    </row>
    <row r="496" spans="1:26" ht="12.75" customHeight="1">
      <c r="A496" s="165"/>
      <c r="B496" s="165"/>
      <c r="C496" s="165"/>
      <c r="D496" s="165"/>
      <c r="E496" s="165"/>
      <c r="F496" s="165"/>
      <c r="G496" s="165"/>
      <c r="H496" s="165"/>
      <c r="I496" s="165"/>
      <c r="J496" s="165"/>
      <c r="K496" s="165"/>
      <c r="L496" s="165"/>
      <c r="M496" s="165"/>
      <c r="N496" s="165"/>
      <c r="O496" s="165"/>
      <c r="P496" s="165"/>
      <c r="Q496" s="165"/>
      <c r="R496" s="165"/>
      <c r="S496" s="165"/>
      <c r="T496" s="165"/>
      <c r="U496" s="165"/>
      <c r="V496" s="165"/>
      <c r="W496" s="165"/>
      <c r="X496" s="165"/>
      <c r="Y496" s="165"/>
      <c r="Z496" s="165"/>
    </row>
    <row r="497" spans="1:26" ht="12.75" customHeight="1">
      <c r="A497" s="165"/>
      <c r="B497" s="165"/>
      <c r="C497" s="165"/>
      <c r="D497" s="165"/>
      <c r="E497" s="165"/>
      <c r="F497" s="165"/>
      <c r="G497" s="165"/>
      <c r="H497" s="165"/>
      <c r="I497" s="165"/>
      <c r="J497" s="165"/>
      <c r="K497" s="165"/>
      <c r="L497" s="165"/>
      <c r="M497" s="165"/>
      <c r="N497" s="165"/>
      <c r="O497" s="165"/>
      <c r="P497" s="165"/>
      <c r="Q497" s="165"/>
      <c r="R497" s="165"/>
      <c r="S497" s="165"/>
      <c r="T497" s="165"/>
      <c r="U497" s="165"/>
      <c r="V497" s="165"/>
      <c r="W497" s="165"/>
      <c r="X497" s="165"/>
      <c r="Y497" s="165"/>
      <c r="Z497" s="165"/>
    </row>
    <row r="498" spans="1:26" ht="12.75" customHeight="1">
      <c r="A498" s="165"/>
      <c r="B498" s="165"/>
      <c r="C498" s="165"/>
      <c r="D498" s="165"/>
      <c r="E498" s="165"/>
      <c r="F498" s="165"/>
      <c r="G498" s="165"/>
      <c r="H498" s="165"/>
      <c r="I498" s="165"/>
      <c r="J498" s="165"/>
      <c r="K498" s="165"/>
      <c r="L498" s="165"/>
      <c r="M498" s="165"/>
      <c r="N498" s="165"/>
      <c r="O498" s="165"/>
      <c r="P498" s="165"/>
      <c r="Q498" s="165"/>
      <c r="R498" s="165"/>
      <c r="S498" s="165"/>
      <c r="T498" s="165"/>
      <c r="U498" s="165"/>
      <c r="V498" s="165"/>
      <c r="W498" s="165"/>
      <c r="X498" s="165"/>
      <c r="Y498" s="165"/>
      <c r="Z498" s="165"/>
    </row>
    <row r="499" spans="1:26" ht="12.75" customHeight="1">
      <c r="A499" s="165"/>
      <c r="B499" s="165"/>
      <c r="C499" s="165"/>
      <c r="D499" s="165"/>
      <c r="E499" s="165"/>
      <c r="F499" s="165"/>
      <c r="G499" s="165"/>
      <c r="H499" s="165"/>
      <c r="I499" s="165"/>
      <c r="J499" s="165"/>
      <c r="K499" s="165"/>
      <c r="L499" s="165"/>
      <c r="M499" s="165"/>
      <c r="N499" s="165"/>
      <c r="O499" s="165"/>
      <c r="P499" s="165"/>
      <c r="Q499" s="165"/>
      <c r="R499" s="165"/>
      <c r="S499" s="165"/>
      <c r="T499" s="165"/>
      <c r="U499" s="165"/>
      <c r="V499" s="165"/>
      <c r="W499" s="165"/>
      <c r="X499" s="165"/>
      <c r="Y499" s="165"/>
      <c r="Z499" s="165"/>
    </row>
    <row r="500" spans="1:26" ht="12.75" customHeight="1">
      <c r="A500" s="165"/>
      <c r="B500" s="165"/>
      <c r="C500" s="165"/>
      <c r="D500" s="165"/>
      <c r="E500" s="165"/>
      <c r="F500" s="165"/>
      <c r="G500" s="165"/>
      <c r="H500" s="165"/>
      <c r="I500" s="165"/>
      <c r="J500" s="165"/>
      <c r="K500" s="165"/>
      <c r="L500" s="165"/>
      <c r="M500" s="165"/>
      <c r="N500" s="165"/>
      <c r="O500" s="165"/>
      <c r="P500" s="165"/>
      <c r="Q500" s="165"/>
      <c r="R500" s="165"/>
      <c r="S500" s="165"/>
      <c r="T500" s="165"/>
      <c r="U500" s="165"/>
      <c r="V500" s="165"/>
      <c r="W500" s="165"/>
      <c r="X500" s="165"/>
      <c r="Y500" s="165"/>
      <c r="Z500" s="165"/>
    </row>
    <row r="501" spans="1:26" ht="12.75" customHeight="1">
      <c r="A501" s="165"/>
      <c r="B501" s="165"/>
      <c r="C501" s="165"/>
      <c r="D501" s="165"/>
      <c r="E501" s="165"/>
      <c r="F501" s="165"/>
      <c r="G501" s="165"/>
      <c r="H501" s="165"/>
      <c r="I501" s="165"/>
      <c r="J501" s="165"/>
      <c r="K501" s="165"/>
      <c r="L501" s="165"/>
      <c r="M501" s="165"/>
      <c r="N501" s="165"/>
      <c r="O501" s="165"/>
      <c r="P501" s="165"/>
      <c r="Q501" s="165"/>
      <c r="R501" s="165"/>
      <c r="S501" s="165"/>
      <c r="T501" s="165"/>
      <c r="U501" s="165"/>
      <c r="V501" s="165"/>
      <c r="W501" s="165"/>
      <c r="X501" s="165"/>
      <c r="Y501" s="165"/>
      <c r="Z501" s="165"/>
    </row>
    <row r="502" spans="1:26" ht="12.75" customHeight="1">
      <c r="A502" s="165"/>
      <c r="B502" s="165"/>
      <c r="C502" s="165"/>
      <c r="D502" s="165"/>
      <c r="E502" s="165"/>
      <c r="F502" s="165"/>
      <c r="G502" s="165"/>
      <c r="H502" s="165"/>
      <c r="I502" s="165"/>
      <c r="J502" s="165"/>
      <c r="K502" s="165"/>
      <c r="L502" s="165"/>
      <c r="M502" s="165"/>
      <c r="N502" s="165"/>
      <c r="O502" s="165"/>
      <c r="P502" s="165"/>
      <c r="Q502" s="165"/>
      <c r="R502" s="165"/>
      <c r="S502" s="165"/>
      <c r="T502" s="165"/>
      <c r="U502" s="165"/>
      <c r="V502" s="165"/>
      <c r="W502" s="165"/>
      <c r="X502" s="165"/>
      <c r="Y502" s="165"/>
      <c r="Z502" s="165"/>
    </row>
    <row r="503" spans="1:26" ht="12.75" customHeight="1">
      <c r="A503" s="165"/>
      <c r="B503" s="165"/>
      <c r="C503" s="165"/>
      <c r="D503" s="165"/>
      <c r="E503" s="165"/>
      <c r="F503" s="165"/>
      <c r="G503" s="165"/>
      <c r="H503" s="165"/>
      <c r="I503" s="165"/>
      <c r="J503" s="165"/>
      <c r="K503" s="165"/>
      <c r="L503" s="165"/>
      <c r="M503" s="165"/>
      <c r="N503" s="165"/>
      <c r="O503" s="165"/>
      <c r="P503" s="165"/>
      <c r="Q503" s="165"/>
      <c r="R503" s="165"/>
      <c r="S503" s="165"/>
      <c r="T503" s="165"/>
      <c r="U503" s="165"/>
      <c r="V503" s="165"/>
      <c r="W503" s="165"/>
      <c r="X503" s="165"/>
      <c r="Y503" s="165"/>
      <c r="Z503" s="165"/>
    </row>
    <row r="504" spans="1:26" ht="12.75" customHeight="1">
      <c r="A504" s="165"/>
      <c r="B504" s="165"/>
      <c r="C504" s="165"/>
      <c r="D504" s="165"/>
      <c r="E504" s="165"/>
      <c r="F504" s="165"/>
      <c r="G504" s="165"/>
      <c r="H504" s="165"/>
      <c r="I504" s="165"/>
      <c r="J504" s="165"/>
      <c r="K504" s="165"/>
      <c r="L504" s="165"/>
      <c r="M504" s="165"/>
      <c r="N504" s="165"/>
      <c r="O504" s="165"/>
      <c r="P504" s="165"/>
      <c r="Q504" s="165"/>
      <c r="R504" s="165"/>
      <c r="S504" s="165"/>
      <c r="T504" s="165"/>
      <c r="U504" s="165"/>
      <c r="V504" s="165"/>
      <c r="W504" s="165"/>
      <c r="X504" s="165"/>
      <c r="Y504" s="165"/>
      <c r="Z504" s="165"/>
    </row>
    <row r="505" spans="1:26" ht="12.75" customHeight="1">
      <c r="A505" s="165"/>
      <c r="B505" s="165"/>
      <c r="C505" s="165"/>
      <c r="D505" s="165"/>
      <c r="E505" s="165"/>
      <c r="F505" s="165"/>
      <c r="G505" s="165"/>
      <c r="H505" s="165"/>
      <c r="I505" s="165"/>
      <c r="J505" s="165"/>
      <c r="K505" s="165"/>
      <c r="L505" s="165"/>
      <c r="M505" s="165"/>
      <c r="N505" s="165"/>
      <c r="O505" s="165"/>
      <c r="P505" s="165"/>
      <c r="Q505" s="165"/>
      <c r="R505" s="165"/>
      <c r="S505" s="165"/>
      <c r="T505" s="165"/>
      <c r="U505" s="165"/>
      <c r="V505" s="165"/>
      <c r="W505" s="165"/>
      <c r="X505" s="165"/>
      <c r="Y505" s="165"/>
      <c r="Z505" s="165"/>
    </row>
    <row r="506" spans="1:26" ht="12.75" customHeight="1">
      <c r="A506" s="165"/>
      <c r="B506" s="165"/>
      <c r="C506" s="165"/>
      <c r="D506" s="165"/>
      <c r="E506" s="165"/>
      <c r="F506" s="165"/>
      <c r="G506" s="165"/>
      <c r="H506" s="165"/>
      <c r="I506" s="165"/>
      <c r="J506" s="165"/>
      <c r="K506" s="165"/>
      <c r="L506" s="165"/>
      <c r="M506" s="165"/>
      <c r="N506" s="165"/>
      <c r="O506" s="165"/>
      <c r="P506" s="165"/>
      <c r="Q506" s="165"/>
      <c r="R506" s="165"/>
      <c r="S506" s="165"/>
      <c r="T506" s="165"/>
      <c r="U506" s="165"/>
      <c r="V506" s="165"/>
      <c r="W506" s="165"/>
      <c r="X506" s="165"/>
      <c r="Y506" s="165"/>
      <c r="Z506" s="165"/>
    </row>
    <row r="507" spans="1:26" ht="12.75" customHeight="1">
      <c r="A507" s="165"/>
      <c r="B507" s="165"/>
      <c r="C507" s="165"/>
      <c r="D507" s="165"/>
      <c r="E507" s="165"/>
      <c r="F507" s="165"/>
      <c r="G507" s="165"/>
      <c r="H507" s="165"/>
      <c r="I507" s="165"/>
      <c r="J507" s="165"/>
      <c r="K507" s="165"/>
      <c r="L507" s="165"/>
      <c r="M507" s="165"/>
      <c r="N507" s="165"/>
      <c r="O507" s="165"/>
      <c r="P507" s="165"/>
      <c r="Q507" s="165"/>
      <c r="R507" s="165"/>
      <c r="S507" s="165"/>
      <c r="T507" s="165"/>
      <c r="U507" s="165"/>
      <c r="V507" s="165"/>
      <c r="W507" s="165"/>
      <c r="X507" s="165"/>
      <c r="Y507" s="165"/>
      <c r="Z507" s="165"/>
    </row>
    <row r="508" spans="1:26" ht="12.75" customHeight="1">
      <c r="A508" s="165"/>
      <c r="B508" s="165"/>
      <c r="C508" s="165"/>
      <c r="D508" s="165"/>
      <c r="E508" s="165"/>
      <c r="F508" s="165"/>
      <c r="G508" s="165"/>
      <c r="H508" s="165"/>
      <c r="I508" s="165"/>
      <c r="J508" s="165"/>
      <c r="K508" s="165"/>
      <c r="L508" s="165"/>
      <c r="M508" s="165"/>
      <c r="N508" s="165"/>
      <c r="O508" s="165"/>
      <c r="P508" s="165"/>
      <c r="Q508" s="165"/>
      <c r="R508" s="165"/>
      <c r="S508" s="165"/>
      <c r="T508" s="165"/>
      <c r="U508" s="165"/>
      <c r="V508" s="165"/>
      <c r="W508" s="165"/>
      <c r="X508" s="165"/>
      <c r="Y508" s="165"/>
      <c r="Z508" s="165"/>
    </row>
    <row r="509" spans="1:26" ht="12.75" customHeight="1">
      <c r="A509" s="165"/>
      <c r="B509" s="165"/>
      <c r="C509" s="165"/>
      <c r="D509" s="165"/>
      <c r="E509" s="165"/>
      <c r="F509" s="165"/>
      <c r="G509" s="165"/>
      <c r="H509" s="165"/>
      <c r="I509" s="165"/>
      <c r="J509" s="165"/>
      <c r="K509" s="165"/>
      <c r="L509" s="165"/>
      <c r="M509" s="165"/>
      <c r="N509" s="165"/>
      <c r="O509" s="165"/>
      <c r="P509" s="165"/>
      <c r="Q509" s="165"/>
      <c r="R509" s="165"/>
      <c r="S509" s="165"/>
      <c r="T509" s="165"/>
      <c r="U509" s="165"/>
      <c r="V509" s="165"/>
      <c r="W509" s="165"/>
      <c r="X509" s="165"/>
      <c r="Y509" s="165"/>
      <c r="Z509" s="165"/>
    </row>
    <row r="510" spans="1:26" ht="12.75" customHeight="1">
      <c r="A510" s="165"/>
      <c r="B510" s="165"/>
      <c r="C510" s="165"/>
      <c r="D510" s="165"/>
      <c r="E510" s="165"/>
      <c r="F510" s="165"/>
      <c r="G510" s="165"/>
      <c r="H510" s="165"/>
      <c r="I510" s="165"/>
      <c r="J510" s="165"/>
      <c r="K510" s="165"/>
      <c r="L510" s="165"/>
      <c r="M510" s="165"/>
      <c r="N510" s="165"/>
      <c r="O510" s="165"/>
      <c r="P510" s="165"/>
      <c r="Q510" s="165"/>
      <c r="R510" s="165"/>
      <c r="S510" s="165"/>
      <c r="T510" s="165"/>
      <c r="U510" s="165"/>
      <c r="V510" s="165"/>
      <c r="W510" s="165"/>
      <c r="X510" s="165"/>
      <c r="Y510" s="165"/>
      <c r="Z510" s="165"/>
    </row>
    <row r="511" spans="1:26" ht="12.75" customHeight="1">
      <c r="A511" s="165"/>
      <c r="B511" s="165"/>
      <c r="C511" s="165"/>
      <c r="D511" s="165"/>
      <c r="E511" s="165"/>
      <c r="F511" s="165"/>
      <c r="G511" s="165"/>
      <c r="H511" s="165"/>
      <c r="I511" s="165"/>
      <c r="J511" s="165"/>
      <c r="K511" s="165"/>
      <c r="L511" s="165"/>
      <c r="M511" s="165"/>
      <c r="N511" s="165"/>
      <c r="O511" s="165"/>
      <c r="P511" s="165"/>
      <c r="Q511" s="165"/>
      <c r="R511" s="165"/>
      <c r="S511" s="165"/>
      <c r="T511" s="165"/>
      <c r="U511" s="165"/>
      <c r="V511" s="165"/>
      <c r="W511" s="165"/>
      <c r="X511" s="165"/>
      <c r="Y511" s="165"/>
      <c r="Z511" s="165"/>
    </row>
    <row r="512" spans="1:26" ht="12.75" customHeight="1">
      <c r="A512" s="165"/>
      <c r="B512" s="165"/>
      <c r="C512" s="165"/>
      <c r="D512" s="165"/>
      <c r="E512" s="165"/>
      <c r="F512" s="165"/>
      <c r="G512" s="165"/>
      <c r="H512" s="165"/>
      <c r="I512" s="165"/>
      <c r="J512" s="165"/>
      <c r="K512" s="165"/>
      <c r="L512" s="165"/>
      <c r="M512" s="165"/>
      <c r="N512" s="165"/>
      <c r="O512" s="165"/>
      <c r="P512" s="165"/>
      <c r="Q512" s="165"/>
      <c r="R512" s="165"/>
      <c r="S512" s="165"/>
      <c r="T512" s="165"/>
      <c r="U512" s="165"/>
      <c r="V512" s="165"/>
      <c r="W512" s="165"/>
      <c r="X512" s="165"/>
      <c r="Y512" s="165"/>
      <c r="Z512" s="165"/>
    </row>
    <row r="513" spans="1:26" ht="12.75" customHeight="1">
      <c r="A513" s="165"/>
      <c r="B513" s="165"/>
      <c r="C513" s="165"/>
      <c r="D513" s="165"/>
      <c r="E513" s="165"/>
      <c r="F513" s="165"/>
      <c r="G513" s="165"/>
      <c r="H513" s="165"/>
      <c r="I513" s="165"/>
      <c r="J513" s="165"/>
      <c r="K513" s="165"/>
      <c r="L513" s="165"/>
      <c r="M513" s="165"/>
      <c r="N513" s="165"/>
      <c r="O513" s="165"/>
      <c r="P513" s="165"/>
      <c r="Q513" s="165"/>
      <c r="R513" s="165"/>
      <c r="S513" s="165"/>
      <c r="T513" s="165"/>
      <c r="U513" s="165"/>
      <c r="V513" s="165"/>
      <c r="W513" s="165"/>
      <c r="X513" s="165"/>
      <c r="Y513" s="165"/>
      <c r="Z513" s="165"/>
    </row>
    <row r="514" spans="1:26" ht="12.75" customHeight="1">
      <c r="A514" s="165"/>
      <c r="B514" s="165"/>
      <c r="C514" s="165"/>
      <c r="D514" s="165"/>
      <c r="E514" s="165"/>
      <c r="F514" s="165"/>
      <c r="G514" s="165"/>
      <c r="H514" s="165"/>
      <c r="I514" s="165"/>
      <c r="J514" s="165"/>
      <c r="K514" s="165"/>
      <c r="L514" s="165"/>
      <c r="M514" s="165"/>
      <c r="N514" s="165"/>
      <c r="O514" s="165"/>
      <c r="P514" s="165"/>
      <c r="Q514" s="165"/>
      <c r="R514" s="165"/>
      <c r="S514" s="165"/>
      <c r="T514" s="165"/>
      <c r="U514" s="165"/>
      <c r="V514" s="165"/>
      <c r="W514" s="165"/>
      <c r="X514" s="165"/>
      <c r="Y514" s="165"/>
      <c r="Z514" s="165"/>
    </row>
    <row r="515" spans="1:26" ht="12.75" customHeight="1">
      <c r="A515" s="165"/>
      <c r="B515" s="165"/>
      <c r="C515" s="165"/>
      <c r="D515" s="165"/>
      <c r="E515" s="165"/>
      <c r="F515" s="165"/>
      <c r="G515" s="165"/>
      <c r="H515" s="165"/>
      <c r="I515" s="165"/>
      <c r="J515" s="165"/>
      <c r="K515" s="165"/>
      <c r="L515" s="165"/>
      <c r="M515" s="165"/>
      <c r="N515" s="165"/>
      <c r="O515" s="165"/>
      <c r="P515" s="165"/>
      <c r="Q515" s="165"/>
      <c r="R515" s="165"/>
      <c r="S515" s="165"/>
      <c r="T515" s="165"/>
      <c r="U515" s="165"/>
      <c r="V515" s="165"/>
      <c r="W515" s="165"/>
      <c r="X515" s="165"/>
      <c r="Y515" s="165"/>
      <c r="Z515" s="165"/>
    </row>
    <row r="516" spans="1:26" ht="12.75" customHeight="1">
      <c r="A516" s="165"/>
      <c r="B516" s="165"/>
      <c r="C516" s="165"/>
      <c r="D516" s="165"/>
      <c r="E516" s="165"/>
      <c r="F516" s="165"/>
      <c r="G516" s="165"/>
      <c r="H516" s="165"/>
      <c r="I516" s="165"/>
      <c r="J516" s="165"/>
      <c r="K516" s="165"/>
      <c r="L516" s="165"/>
      <c r="M516" s="165"/>
      <c r="N516" s="165"/>
      <c r="O516" s="165"/>
      <c r="P516" s="165"/>
      <c r="Q516" s="165"/>
      <c r="R516" s="165"/>
      <c r="S516" s="165"/>
      <c r="T516" s="165"/>
      <c r="U516" s="165"/>
      <c r="V516" s="165"/>
      <c r="W516" s="165"/>
      <c r="X516" s="165"/>
      <c r="Y516" s="165"/>
      <c r="Z516" s="165"/>
    </row>
    <row r="517" spans="1:26" ht="12.75" customHeight="1">
      <c r="A517" s="165"/>
      <c r="B517" s="165"/>
      <c r="C517" s="165"/>
      <c r="D517" s="165"/>
      <c r="E517" s="165"/>
      <c r="F517" s="165"/>
      <c r="G517" s="165"/>
      <c r="H517" s="165"/>
      <c r="I517" s="165"/>
      <c r="J517" s="165"/>
      <c r="K517" s="165"/>
      <c r="L517" s="165"/>
      <c r="M517" s="165"/>
      <c r="N517" s="165"/>
      <c r="O517" s="165"/>
      <c r="P517" s="165"/>
      <c r="Q517" s="165"/>
      <c r="R517" s="165"/>
      <c r="S517" s="165"/>
      <c r="T517" s="165"/>
      <c r="U517" s="165"/>
      <c r="V517" s="165"/>
      <c r="W517" s="165"/>
      <c r="X517" s="165"/>
      <c r="Y517" s="165"/>
      <c r="Z517" s="165"/>
    </row>
    <row r="518" spans="1:26" ht="12.75" customHeight="1">
      <c r="A518" s="165"/>
      <c r="B518" s="165"/>
      <c r="C518" s="165"/>
      <c r="D518" s="165"/>
      <c r="E518" s="165"/>
      <c r="F518" s="165"/>
      <c r="G518" s="165"/>
      <c r="H518" s="165"/>
      <c r="I518" s="165"/>
      <c r="J518" s="165"/>
      <c r="K518" s="165"/>
      <c r="L518" s="165"/>
      <c r="M518" s="165"/>
      <c r="N518" s="165"/>
      <c r="O518" s="165"/>
      <c r="P518" s="165"/>
      <c r="Q518" s="165"/>
      <c r="R518" s="165"/>
      <c r="S518" s="165"/>
      <c r="T518" s="165"/>
      <c r="U518" s="165"/>
      <c r="V518" s="165"/>
      <c r="W518" s="165"/>
      <c r="X518" s="165"/>
      <c r="Y518" s="165"/>
      <c r="Z518" s="165"/>
    </row>
    <row r="519" spans="1:26" ht="12.75" customHeight="1">
      <c r="A519" s="165"/>
      <c r="B519" s="165"/>
      <c r="C519" s="165"/>
      <c r="D519" s="165"/>
      <c r="E519" s="165"/>
      <c r="F519" s="165"/>
      <c r="G519" s="165"/>
      <c r="H519" s="165"/>
      <c r="I519" s="165"/>
      <c r="J519" s="165"/>
      <c r="K519" s="165"/>
      <c r="L519" s="165"/>
      <c r="M519" s="165"/>
      <c r="N519" s="165"/>
      <c r="O519" s="165"/>
      <c r="P519" s="165"/>
      <c r="Q519" s="165"/>
      <c r="R519" s="165"/>
      <c r="S519" s="165"/>
      <c r="T519" s="165"/>
      <c r="U519" s="165"/>
      <c r="V519" s="165"/>
      <c r="W519" s="165"/>
      <c r="X519" s="165"/>
      <c r="Y519" s="165"/>
      <c r="Z519" s="165"/>
    </row>
    <row r="520" spans="1:26" ht="12.75" customHeight="1">
      <c r="A520" s="165"/>
      <c r="B520" s="165"/>
      <c r="C520" s="165"/>
      <c r="D520" s="165"/>
      <c r="E520" s="165"/>
      <c r="F520" s="165"/>
      <c r="G520" s="165"/>
      <c r="H520" s="165"/>
      <c r="I520" s="165"/>
      <c r="J520" s="165"/>
      <c r="K520" s="165"/>
      <c r="L520" s="165"/>
      <c r="M520" s="165"/>
      <c r="N520" s="165"/>
      <c r="O520" s="165"/>
      <c r="P520" s="165"/>
      <c r="Q520" s="165"/>
      <c r="R520" s="165"/>
      <c r="S520" s="165"/>
      <c r="T520" s="165"/>
      <c r="U520" s="165"/>
      <c r="V520" s="165"/>
      <c r="W520" s="165"/>
      <c r="X520" s="165"/>
      <c r="Y520" s="165"/>
      <c r="Z520" s="165"/>
    </row>
    <row r="521" spans="1:26" ht="12.75" customHeight="1">
      <c r="A521" s="165"/>
      <c r="B521" s="165"/>
      <c r="C521" s="165"/>
      <c r="D521" s="165"/>
      <c r="E521" s="165"/>
      <c r="F521" s="165"/>
      <c r="G521" s="165"/>
      <c r="H521" s="165"/>
      <c r="I521" s="165"/>
      <c r="J521" s="165"/>
      <c r="K521" s="165"/>
      <c r="L521" s="165"/>
      <c r="M521" s="165"/>
      <c r="N521" s="165"/>
      <c r="O521" s="165"/>
      <c r="P521" s="165"/>
      <c r="Q521" s="165"/>
      <c r="R521" s="165"/>
      <c r="S521" s="165"/>
      <c r="T521" s="165"/>
      <c r="U521" s="165"/>
      <c r="V521" s="165"/>
      <c r="W521" s="165"/>
      <c r="X521" s="165"/>
      <c r="Y521" s="165"/>
      <c r="Z521" s="165"/>
    </row>
    <row r="522" spans="1:26" ht="12.75" customHeight="1">
      <c r="A522" s="165"/>
      <c r="B522" s="165"/>
      <c r="C522" s="165"/>
      <c r="D522" s="165"/>
      <c r="E522" s="165"/>
      <c r="F522" s="165"/>
      <c r="G522" s="165"/>
      <c r="H522" s="165"/>
      <c r="I522" s="165"/>
      <c r="J522" s="165"/>
      <c r="K522" s="165"/>
      <c r="L522" s="165"/>
      <c r="M522" s="165"/>
      <c r="N522" s="165"/>
      <c r="O522" s="165"/>
      <c r="P522" s="165"/>
      <c r="Q522" s="165"/>
      <c r="R522" s="165"/>
      <c r="S522" s="165"/>
      <c r="T522" s="165"/>
      <c r="U522" s="165"/>
      <c r="V522" s="165"/>
      <c r="W522" s="165"/>
      <c r="X522" s="165"/>
      <c r="Y522" s="165"/>
      <c r="Z522" s="165"/>
    </row>
    <row r="523" spans="1:26" ht="12.75" customHeight="1">
      <c r="A523" s="165"/>
      <c r="B523" s="165"/>
      <c r="C523" s="165"/>
      <c r="D523" s="165"/>
      <c r="E523" s="165"/>
      <c r="F523" s="165"/>
      <c r="G523" s="165"/>
      <c r="H523" s="165"/>
      <c r="I523" s="165"/>
      <c r="J523" s="165"/>
      <c r="K523" s="165"/>
      <c r="L523" s="165"/>
      <c r="M523" s="165"/>
      <c r="N523" s="165"/>
      <c r="O523" s="165"/>
      <c r="P523" s="165"/>
      <c r="Q523" s="165"/>
      <c r="R523" s="165"/>
      <c r="S523" s="165"/>
      <c r="T523" s="165"/>
      <c r="U523" s="165"/>
      <c r="V523" s="165"/>
      <c r="W523" s="165"/>
      <c r="X523" s="165"/>
      <c r="Y523" s="165"/>
      <c r="Z523" s="165"/>
    </row>
    <row r="524" spans="1:26" ht="12.75" customHeight="1">
      <c r="A524" s="165"/>
      <c r="B524" s="165"/>
      <c r="C524" s="165"/>
      <c r="D524" s="165"/>
      <c r="E524" s="165"/>
      <c r="F524" s="165"/>
      <c r="G524" s="165"/>
      <c r="H524" s="165"/>
      <c r="I524" s="165"/>
      <c r="J524" s="165"/>
      <c r="K524" s="165"/>
      <c r="L524" s="165"/>
      <c r="M524" s="165"/>
      <c r="N524" s="165"/>
      <c r="O524" s="165"/>
      <c r="P524" s="165"/>
      <c r="Q524" s="165"/>
      <c r="R524" s="165"/>
      <c r="S524" s="165"/>
      <c r="T524" s="165"/>
      <c r="U524" s="165"/>
      <c r="V524" s="165"/>
      <c r="W524" s="165"/>
      <c r="X524" s="165"/>
      <c r="Y524" s="165"/>
      <c r="Z524" s="165"/>
    </row>
    <row r="525" spans="1:26" ht="12.75" customHeight="1">
      <c r="A525" s="165"/>
      <c r="B525" s="165"/>
      <c r="C525" s="165"/>
      <c r="D525" s="165"/>
      <c r="E525" s="165"/>
      <c r="F525" s="165"/>
      <c r="G525" s="165"/>
      <c r="H525" s="165"/>
      <c r="I525" s="165"/>
      <c r="J525" s="165"/>
      <c r="K525" s="165"/>
      <c r="L525" s="165"/>
      <c r="M525" s="165"/>
      <c r="N525" s="165"/>
      <c r="O525" s="165"/>
      <c r="P525" s="165"/>
      <c r="Q525" s="165"/>
      <c r="R525" s="165"/>
      <c r="S525" s="165"/>
      <c r="T525" s="165"/>
      <c r="U525" s="165"/>
      <c r="V525" s="165"/>
      <c r="W525" s="165"/>
      <c r="X525" s="165"/>
      <c r="Y525" s="165"/>
      <c r="Z525" s="165"/>
    </row>
    <row r="526" spans="1:26" ht="12.75" customHeight="1">
      <c r="A526" s="165"/>
      <c r="B526" s="165"/>
      <c r="C526" s="165"/>
      <c r="D526" s="165"/>
      <c r="E526" s="165"/>
      <c r="F526" s="165"/>
      <c r="G526" s="165"/>
      <c r="H526" s="165"/>
      <c r="I526" s="165"/>
      <c r="J526" s="165"/>
      <c r="K526" s="165"/>
      <c r="L526" s="165"/>
      <c r="M526" s="165"/>
      <c r="N526" s="165"/>
      <c r="O526" s="165"/>
      <c r="P526" s="165"/>
      <c r="Q526" s="165"/>
      <c r="R526" s="165"/>
      <c r="S526" s="165"/>
      <c r="T526" s="165"/>
      <c r="U526" s="165"/>
      <c r="V526" s="165"/>
      <c r="W526" s="165"/>
      <c r="X526" s="165"/>
      <c r="Y526" s="165"/>
      <c r="Z526" s="165"/>
    </row>
    <row r="527" spans="1:26" ht="12.75" customHeight="1">
      <c r="A527" s="165"/>
      <c r="B527" s="165"/>
      <c r="C527" s="165"/>
      <c r="D527" s="165"/>
      <c r="E527" s="165"/>
      <c r="F527" s="165"/>
      <c r="G527" s="165"/>
      <c r="H527" s="165"/>
      <c r="I527" s="165"/>
      <c r="J527" s="165"/>
      <c r="K527" s="165"/>
      <c r="L527" s="165"/>
      <c r="M527" s="165"/>
      <c r="N527" s="165"/>
      <c r="O527" s="165"/>
      <c r="P527" s="165"/>
      <c r="Q527" s="165"/>
      <c r="R527" s="165"/>
      <c r="S527" s="165"/>
      <c r="T527" s="165"/>
      <c r="U527" s="165"/>
      <c r="V527" s="165"/>
      <c r="W527" s="165"/>
      <c r="X527" s="165"/>
      <c r="Y527" s="165"/>
      <c r="Z527" s="165"/>
    </row>
    <row r="528" spans="1:26" ht="12.75" customHeight="1">
      <c r="A528" s="165"/>
      <c r="B528" s="165"/>
      <c r="C528" s="165"/>
      <c r="D528" s="165"/>
      <c r="E528" s="165"/>
      <c r="F528" s="165"/>
      <c r="G528" s="165"/>
      <c r="H528" s="165"/>
      <c r="I528" s="165"/>
      <c r="J528" s="165"/>
      <c r="K528" s="165"/>
      <c r="L528" s="165"/>
      <c r="M528" s="165"/>
      <c r="N528" s="165"/>
      <c r="O528" s="165"/>
      <c r="P528" s="165"/>
      <c r="Q528" s="165"/>
      <c r="R528" s="165"/>
      <c r="S528" s="165"/>
      <c r="T528" s="165"/>
      <c r="U528" s="165"/>
      <c r="V528" s="165"/>
      <c r="W528" s="165"/>
      <c r="X528" s="165"/>
      <c r="Y528" s="165"/>
      <c r="Z528" s="165"/>
    </row>
    <row r="529" spans="1:26" ht="12.75" customHeight="1">
      <c r="A529" s="165"/>
      <c r="B529" s="165"/>
      <c r="C529" s="165"/>
      <c r="D529" s="165"/>
      <c r="E529" s="165"/>
      <c r="F529" s="165"/>
      <c r="G529" s="165"/>
      <c r="H529" s="165"/>
      <c r="I529" s="165"/>
      <c r="J529" s="165"/>
      <c r="K529" s="165"/>
      <c r="L529" s="165"/>
      <c r="M529" s="165"/>
      <c r="N529" s="165"/>
      <c r="O529" s="165"/>
      <c r="P529" s="165"/>
      <c r="Q529" s="165"/>
      <c r="R529" s="165"/>
      <c r="S529" s="165"/>
      <c r="T529" s="165"/>
      <c r="U529" s="165"/>
      <c r="V529" s="165"/>
      <c r="W529" s="165"/>
      <c r="X529" s="165"/>
      <c r="Y529" s="165"/>
      <c r="Z529" s="165"/>
    </row>
    <row r="530" spans="1:26" ht="12.75" customHeight="1">
      <c r="A530" s="165"/>
      <c r="B530" s="165"/>
      <c r="C530" s="165"/>
      <c r="D530" s="165"/>
      <c r="E530" s="165"/>
      <c r="F530" s="165"/>
      <c r="G530" s="165"/>
      <c r="H530" s="165"/>
      <c r="I530" s="165"/>
      <c r="J530" s="165"/>
      <c r="K530" s="165"/>
      <c r="L530" s="165"/>
      <c r="M530" s="165"/>
      <c r="N530" s="165"/>
      <c r="O530" s="165"/>
      <c r="P530" s="165"/>
      <c r="Q530" s="165"/>
      <c r="R530" s="165"/>
      <c r="S530" s="165"/>
      <c r="T530" s="165"/>
      <c r="U530" s="165"/>
      <c r="V530" s="165"/>
      <c r="W530" s="165"/>
      <c r="X530" s="165"/>
      <c r="Y530" s="165"/>
      <c r="Z530" s="165"/>
    </row>
    <row r="531" spans="1:26" ht="12.75" customHeight="1">
      <c r="A531" s="165"/>
      <c r="B531" s="165"/>
      <c r="C531" s="165"/>
      <c r="D531" s="165"/>
      <c r="E531" s="165"/>
      <c r="F531" s="165"/>
      <c r="G531" s="165"/>
      <c r="H531" s="165"/>
      <c r="I531" s="165"/>
      <c r="J531" s="165"/>
      <c r="K531" s="165"/>
      <c r="L531" s="165"/>
      <c r="M531" s="165"/>
      <c r="N531" s="165"/>
      <c r="O531" s="165"/>
      <c r="P531" s="165"/>
      <c r="Q531" s="165"/>
      <c r="R531" s="165"/>
      <c r="S531" s="165"/>
      <c r="T531" s="165"/>
      <c r="U531" s="165"/>
      <c r="V531" s="165"/>
      <c r="W531" s="165"/>
      <c r="X531" s="165"/>
      <c r="Y531" s="165"/>
      <c r="Z531" s="165"/>
    </row>
    <row r="532" spans="1:26" ht="12.75" customHeight="1">
      <c r="A532" s="165"/>
      <c r="B532" s="165"/>
      <c r="C532" s="165"/>
      <c r="D532" s="165"/>
      <c r="E532" s="165"/>
      <c r="F532" s="165"/>
      <c r="G532" s="165"/>
      <c r="H532" s="165"/>
      <c r="I532" s="165"/>
      <c r="J532" s="165"/>
      <c r="K532" s="165"/>
      <c r="L532" s="165"/>
      <c r="M532" s="165"/>
      <c r="N532" s="165"/>
      <c r="O532" s="165"/>
      <c r="P532" s="165"/>
      <c r="Q532" s="165"/>
      <c r="R532" s="165"/>
      <c r="S532" s="165"/>
      <c r="T532" s="165"/>
      <c r="U532" s="165"/>
      <c r="V532" s="165"/>
      <c r="W532" s="165"/>
      <c r="X532" s="165"/>
      <c r="Y532" s="165"/>
      <c r="Z532" s="165"/>
    </row>
    <row r="533" spans="1:26" ht="12.75" customHeight="1">
      <c r="A533" s="165"/>
      <c r="B533" s="165"/>
      <c r="C533" s="165"/>
      <c r="D533" s="165"/>
      <c r="E533" s="165"/>
      <c r="F533" s="165"/>
      <c r="G533" s="165"/>
      <c r="H533" s="165"/>
      <c r="I533" s="165"/>
      <c r="J533" s="165"/>
      <c r="K533" s="165"/>
      <c r="L533" s="165"/>
      <c r="M533" s="165"/>
      <c r="N533" s="165"/>
      <c r="O533" s="165"/>
      <c r="P533" s="165"/>
      <c r="Q533" s="165"/>
      <c r="R533" s="165"/>
      <c r="S533" s="165"/>
      <c r="T533" s="165"/>
      <c r="U533" s="165"/>
      <c r="V533" s="165"/>
      <c r="W533" s="165"/>
      <c r="X533" s="165"/>
      <c r="Y533" s="165"/>
      <c r="Z533" s="165"/>
    </row>
    <row r="534" spans="1:26" ht="12.75" customHeight="1">
      <c r="A534" s="165"/>
      <c r="B534" s="165"/>
      <c r="C534" s="165"/>
      <c r="D534" s="165"/>
      <c r="E534" s="165"/>
      <c r="F534" s="165"/>
      <c r="G534" s="165"/>
      <c r="H534" s="165"/>
      <c r="I534" s="165"/>
      <c r="J534" s="165"/>
      <c r="K534" s="165"/>
      <c r="L534" s="165"/>
      <c r="M534" s="165"/>
      <c r="N534" s="165"/>
      <c r="O534" s="165"/>
      <c r="P534" s="165"/>
      <c r="Q534" s="165"/>
      <c r="R534" s="165"/>
      <c r="S534" s="165"/>
      <c r="T534" s="165"/>
      <c r="U534" s="165"/>
      <c r="V534" s="165"/>
      <c r="W534" s="165"/>
      <c r="X534" s="165"/>
      <c r="Y534" s="165"/>
      <c r="Z534" s="165"/>
    </row>
    <row r="535" spans="1:26" ht="12.75" customHeight="1">
      <c r="A535" s="165"/>
      <c r="B535" s="165"/>
      <c r="C535" s="165"/>
      <c r="D535" s="165"/>
      <c r="E535" s="165"/>
      <c r="F535" s="165"/>
      <c r="G535" s="165"/>
      <c r="H535" s="165"/>
      <c r="I535" s="165"/>
      <c r="J535" s="165"/>
      <c r="K535" s="165"/>
      <c r="L535" s="165"/>
      <c r="M535" s="165"/>
      <c r="N535" s="165"/>
      <c r="O535" s="165"/>
      <c r="P535" s="165"/>
      <c r="Q535" s="165"/>
      <c r="R535" s="165"/>
      <c r="S535" s="165"/>
      <c r="T535" s="165"/>
      <c r="U535" s="165"/>
      <c r="V535" s="165"/>
      <c r="W535" s="165"/>
      <c r="X535" s="165"/>
      <c r="Y535" s="165"/>
      <c r="Z535" s="165"/>
    </row>
    <row r="536" spans="1:26" ht="12.75" customHeight="1">
      <c r="A536" s="165"/>
      <c r="B536" s="165"/>
      <c r="C536" s="165"/>
      <c r="D536" s="165"/>
      <c r="E536" s="165"/>
      <c r="F536" s="165"/>
      <c r="G536" s="165"/>
      <c r="H536" s="165"/>
      <c r="I536" s="165"/>
      <c r="J536" s="165"/>
      <c r="K536" s="165"/>
      <c r="L536" s="165"/>
      <c r="M536" s="165"/>
      <c r="N536" s="165"/>
      <c r="O536" s="165"/>
      <c r="P536" s="165"/>
      <c r="Q536" s="165"/>
      <c r="R536" s="165"/>
      <c r="S536" s="165"/>
      <c r="T536" s="165"/>
      <c r="U536" s="165"/>
      <c r="V536" s="165"/>
      <c r="W536" s="165"/>
      <c r="X536" s="165"/>
      <c r="Y536" s="165"/>
      <c r="Z536" s="165"/>
    </row>
    <row r="537" spans="1:26" ht="12.75" customHeight="1">
      <c r="A537" s="165"/>
      <c r="B537" s="165"/>
      <c r="C537" s="165"/>
      <c r="D537" s="165"/>
      <c r="E537" s="165"/>
      <c r="F537" s="165"/>
      <c r="G537" s="165"/>
      <c r="H537" s="165"/>
      <c r="I537" s="165"/>
      <c r="J537" s="165"/>
      <c r="K537" s="165"/>
      <c r="L537" s="165"/>
      <c r="M537" s="165"/>
      <c r="N537" s="165"/>
      <c r="O537" s="165"/>
      <c r="P537" s="165"/>
      <c r="Q537" s="165"/>
      <c r="R537" s="165"/>
      <c r="S537" s="165"/>
      <c r="T537" s="165"/>
      <c r="U537" s="165"/>
      <c r="V537" s="165"/>
      <c r="W537" s="165"/>
      <c r="X537" s="165"/>
      <c r="Y537" s="165"/>
      <c r="Z537" s="165"/>
    </row>
    <row r="538" spans="1:26" ht="12.75" customHeight="1">
      <c r="A538" s="165"/>
      <c r="B538" s="165"/>
      <c r="C538" s="165"/>
      <c r="D538" s="165"/>
      <c r="E538" s="165"/>
      <c r="F538" s="165"/>
      <c r="G538" s="165"/>
      <c r="H538" s="165"/>
      <c r="I538" s="165"/>
      <c r="J538" s="165"/>
      <c r="K538" s="165"/>
      <c r="L538" s="165"/>
      <c r="M538" s="165"/>
      <c r="N538" s="165"/>
      <c r="O538" s="165"/>
      <c r="P538" s="165"/>
      <c r="Q538" s="165"/>
      <c r="R538" s="165"/>
      <c r="S538" s="165"/>
      <c r="T538" s="165"/>
      <c r="U538" s="165"/>
      <c r="V538" s="165"/>
      <c r="W538" s="165"/>
      <c r="X538" s="165"/>
      <c r="Y538" s="165"/>
      <c r="Z538" s="165"/>
    </row>
    <row r="539" spans="1:26" ht="12.75" customHeight="1">
      <c r="A539" s="165"/>
      <c r="B539" s="165"/>
      <c r="C539" s="165"/>
      <c r="D539" s="165"/>
      <c r="E539" s="165"/>
      <c r="F539" s="165"/>
      <c r="G539" s="165"/>
      <c r="H539" s="165"/>
      <c r="I539" s="165"/>
      <c r="J539" s="165"/>
      <c r="K539" s="165"/>
      <c r="L539" s="165"/>
      <c r="M539" s="165"/>
      <c r="N539" s="165"/>
      <c r="O539" s="165"/>
      <c r="P539" s="165"/>
      <c r="Q539" s="165"/>
      <c r="R539" s="165"/>
      <c r="S539" s="165"/>
      <c r="T539" s="165"/>
      <c r="U539" s="165"/>
      <c r="V539" s="165"/>
      <c r="W539" s="165"/>
      <c r="X539" s="165"/>
      <c r="Y539" s="165"/>
      <c r="Z539" s="165"/>
    </row>
    <row r="540" spans="1:26" ht="12.75" customHeight="1">
      <c r="A540" s="165"/>
      <c r="B540" s="165"/>
      <c r="C540" s="165"/>
      <c r="D540" s="165"/>
      <c r="E540" s="165"/>
      <c r="F540" s="165"/>
      <c r="G540" s="165"/>
      <c r="H540" s="165"/>
      <c r="I540" s="165"/>
      <c r="J540" s="165"/>
      <c r="K540" s="165"/>
      <c r="L540" s="165"/>
      <c r="M540" s="165"/>
      <c r="N540" s="165"/>
      <c r="O540" s="165"/>
      <c r="P540" s="165"/>
      <c r="Q540" s="165"/>
      <c r="R540" s="165"/>
      <c r="S540" s="165"/>
      <c r="T540" s="165"/>
      <c r="U540" s="165"/>
      <c r="V540" s="165"/>
      <c r="W540" s="165"/>
      <c r="X540" s="165"/>
      <c r="Y540" s="165"/>
      <c r="Z540" s="165"/>
    </row>
    <row r="541" spans="1:26" ht="12.75" customHeight="1">
      <c r="A541" s="165"/>
      <c r="B541" s="165"/>
      <c r="C541" s="165"/>
      <c r="D541" s="165"/>
      <c r="E541" s="165"/>
      <c r="F541" s="165"/>
      <c r="G541" s="165"/>
      <c r="H541" s="165"/>
      <c r="I541" s="165"/>
      <c r="J541" s="165"/>
      <c r="K541" s="165"/>
      <c r="L541" s="165"/>
      <c r="M541" s="165"/>
      <c r="N541" s="165"/>
      <c r="O541" s="165"/>
      <c r="P541" s="165"/>
      <c r="Q541" s="165"/>
      <c r="R541" s="165"/>
      <c r="S541" s="165"/>
      <c r="T541" s="165"/>
      <c r="U541" s="165"/>
      <c r="V541" s="165"/>
      <c r="W541" s="165"/>
      <c r="X541" s="165"/>
      <c r="Y541" s="165"/>
      <c r="Z541" s="165"/>
    </row>
    <row r="542" spans="1:26" ht="12.75" customHeight="1">
      <c r="A542" s="165"/>
      <c r="B542" s="165"/>
      <c r="C542" s="165"/>
      <c r="D542" s="165"/>
      <c r="E542" s="165"/>
      <c r="F542" s="165"/>
      <c r="G542" s="165"/>
      <c r="H542" s="165"/>
      <c r="I542" s="165"/>
      <c r="J542" s="165"/>
      <c r="K542" s="165"/>
      <c r="L542" s="165"/>
      <c r="M542" s="165"/>
      <c r="N542" s="165"/>
      <c r="O542" s="165"/>
      <c r="P542" s="165"/>
      <c r="Q542" s="165"/>
      <c r="R542" s="165"/>
      <c r="S542" s="165"/>
      <c r="T542" s="165"/>
      <c r="U542" s="165"/>
      <c r="V542" s="165"/>
      <c r="W542" s="165"/>
      <c r="X542" s="165"/>
      <c r="Y542" s="165"/>
      <c r="Z542" s="165"/>
    </row>
    <row r="543" spans="1:26" ht="12.75" customHeight="1">
      <c r="A543" s="165"/>
      <c r="B543" s="165"/>
      <c r="C543" s="165"/>
      <c r="D543" s="165"/>
      <c r="E543" s="165"/>
      <c r="F543" s="165"/>
      <c r="G543" s="165"/>
      <c r="H543" s="165"/>
      <c r="I543" s="165"/>
      <c r="J543" s="165"/>
      <c r="K543" s="165"/>
      <c r="L543" s="165"/>
      <c r="M543" s="165"/>
      <c r="N543" s="165"/>
      <c r="O543" s="165"/>
      <c r="P543" s="165"/>
      <c r="Q543" s="165"/>
      <c r="R543" s="165"/>
      <c r="S543" s="165"/>
      <c r="T543" s="165"/>
      <c r="U543" s="165"/>
      <c r="V543" s="165"/>
      <c r="W543" s="165"/>
      <c r="X543" s="165"/>
      <c r="Y543" s="165"/>
      <c r="Z543" s="165"/>
    </row>
    <row r="544" spans="1:26" ht="12.75" customHeight="1">
      <c r="A544" s="165"/>
      <c r="B544" s="165"/>
      <c r="C544" s="165"/>
      <c r="D544" s="165"/>
      <c r="E544" s="165"/>
      <c r="F544" s="165"/>
      <c r="G544" s="165"/>
      <c r="H544" s="165"/>
      <c r="I544" s="165"/>
      <c r="J544" s="165"/>
      <c r="K544" s="165"/>
      <c r="L544" s="165"/>
      <c r="M544" s="165"/>
      <c r="N544" s="165"/>
      <c r="O544" s="165"/>
      <c r="P544" s="165"/>
      <c r="Q544" s="165"/>
      <c r="R544" s="165"/>
      <c r="S544" s="165"/>
      <c r="T544" s="165"/>
      <c r="U544" s="165"/>
      <c r="V544" s="165"/>
      <c r="W544" s="165"/>
      <c r="X544" s="165"/>
      <c r="Y544" s="165"/>
      <c r="Z544" s="165"/>
    </row>
    <row r="545" spans="1:26" ht="12.75" customHeight="1">
      <c r="A545" s="165"/>
      <c r="B545" s="165"/>
      <c r="C545" s="165"/>
      <c r="D545" s="165"/>
      <c r="E545" s="165"/>
      <c r="F545" s="165"/>
      <c r="G545" s="165"/>
      <c r="H545" s="165"/>
      <c r="I545" s="165"/>
      <c r="J545" s="165"/>
      <c r="K545" s="165"/>
      <c r="L545" s="165"/>
      <c r="M545" s="165"/>
      <c r="N545" s="165"/>
      <c r="O545" s="165"/>
      <c r="P545" s="165"/>
      <c r="Q545" s="165"/>
      <c r="R545" s="165"/>
      <c r="S545" s="165"/>
      <c r="T545" s="165"/>
      <c r="U545" s="165"/>
      <c r="V545" s="165"/>
      <c r="W545" s="165"/>
      <c r="X545" s="165"/>
      <c r="Y545" s="165"/>
      <c r="Z545" s="165"/>
    </row>
    <row r="546" spans="1:26" ht="12.75" customHeight="1">
      <c r="A546" s="165"/>
      <c r="B546" s="165"/>
      <c r="C546" s="165"/>
      <c r="D546" s="165"/>
      <c r="E546" s="165"/>
      <c r="F546" s="165"/>
      <c r="G546" s="165"/>
      <c r="H546" s="165"/>
      <c r="I546" s="165"/>
      <c r="J546" s="165"/>
      <c r="K546" s="165"/>
      <c r="L546" s="165"/>
      <c r="M546" s="165"/>
      <c r="N546" s="165"/>
      <c r="O546" s="165"/>
      <c r="P546" s="165"/>
      <c r="Q546" s="165"/>
      <c r="R546" s="165"/>
      <c r="S546" s="165"/>
      <c r="T546" s="165"/>
      <c r="U546" s="165"/>
      <c r="V546" s="165"/>
      <c r="W546" s="165"/>
      <c r="X546" s="165"/>
      <c r="Y546" s="165"/>
      <c r="Z546" s="165"/>
    </row>
    <row r="547" spans="1:26" ht="12.75" customHeight="1">
      <c r="A547" s="165"/>
      <c r="B547" s="165"/>
      <c r="C547" s="165"/>
      <c r="D547" s="165"/>
      <c r="E547" s="165"/>
      <c r="F547" s="165"/>
      <c r="G547" s="165"/>
      <c r="H547" s="165"/>
      <c r="I547" s="165"/>
      <c r="J547" s="165"/>
      <c r="K547" s="165"/>
      <c r="L547" s="165"/>
      <c r="M547" s="165"/>
      <c r="N547" s="165"/>
      <c r="O547" s="165"/>
      <c r="P547" s="165"/>
      <c r="Q547" s="165"/>
      <c r="R547" s="165"/>
      <c r="S547" s="165"/>
      <c r="T547" s="165"/>
      <c r="U547" s="165"/>
      <c r="V547" s="165"/>
      <c r="W547" s="165"/>
      <c r="X547" s="165"/>
      <c r="Y547" s="165"/>
      <c r="Z547" s="165"/>
    </row>
    <row r="548" spans="1:26" ht="12.75" customHeight="1">
      <c r="A548" s="165"/>
      <c r="B548" s="165"/>
      <c r="C548" s="165"/>
      <c r="D548" s="165"/>
      <c r="E548" s="165"/>
      <c r="F548" s="165"/>
      <c r="G548" s="165"/>
      <c r="H548" s="165"/>
      <c r="I548" s="165"/>
      <c r="J548" s="165"/>
      <c r="K548" s="165"/>
      <c r="L548" s="165"/>
      <c r="M548" s="165"/>
      <c r="N548" s="165"/>
      <c r="O548" s="165"/>
      <c r="P548" s="165"/>
      <c r="Q548" s="165"/>
      <c r="R548" s="165"/>
      <c r="S548" s="165"/>
      <c r="T548" s="165"/>
      <c r="U548" s="165"/>
      <c r="V548" s="165"/>
      <c r="W548" s="165"/>
      <c r="X548" s="165"/>
      <c r="Y548" s="165"/>
      <c r="Z548" s="165"/>
    </row>
    <row r="549" spans="1:26" ht="12.75" customHeight="1">
      <c r="A549" s="165"/>
      <c r="B549" s="165"/>
      <c r="C549" s="165"/>
      <c r="D549" s="165"/>
      <c r="E549" s="165"/>
      <c r="F549" s="165"/>
      <c r="G549" s="165"/>
      <c r="H549" s="165"/>
      <c r="I549" s="165"/>
      <c r="J549" s="165"/>
      <c r="K549" s="165"/>
      <c r="L549" s="165"/>
      <c r="M549" s="165"/>
      <c r="N549" s="165"/>
      <c r="O549" s="165"/>
      <c r="P549" s="165"/>
      <c r="Q549" s="165"/>
      <c r="R549" s="165"/>
      <c r="S549" s="165"/>
      <c r="T549" s="165"/>
      <c r="U549" s="165"/>
      <c r="V549" s="165"/>
      <c r="W549" s="165"/>
      <c r="X549" s="165"/>
      <c r="Y549" s="165"/>
      <c r="Z549" s="165"/>
    </row>
    <row r="550" spans="1:26" ht="12.75" customHeight="1">
      <c r="A550" s="165"/>
      <c r="B550" s="165"/>
      <c r="C550" s="165"/>
      <c r="D550" s="165"/>
      <c r="E550" s="165"/>
      <c r="F550" s="165"/>
      <c r="G550" s="165"/>
      <c r="H550" s="165"/>
      <c r="I550" s="165"/>
      <c r="J550" s="165"/>
      <c r="K550" s="165"/>
      <c r="L550" s="165"/>
      <c r="M550" s="165"/>
      <c r="N550" s="165"/>
      <c r="O550" s="165"/>
      <c r="P550" s="165"/>
      <c r="Q550" s="165"/>
      <c r="R550" s="165"/>
      <c r="S550" s="165"/>
      <c r="T550" s="165"/>
      <c r="U550" s="165"/>
      <c r="V550" s="165"/>
      <c r="W550" s="165"/>
      <c r="X550" s="165"/>
      <c r="Y550" s="165"/>
      <c r="Z550" s="165"/>
    </row>
    <row r="551" spans="1:26" ht="12.75" customHeight="1">
      <c r="A551" s="165"/>
      <c r="B551" s="165"/>
      <c r="C551" s="165"/>
      <c r="D551" s="165"/>
      <c r="E551" s="165"/>
      <c r="F551" s="165"/>
      <c r="G551" s="165"/>
      <c r="H551" s="165"/>
      <c r="I551" s="165"/>
      <c r="J551" s="165"/>
      <c r="K551" s="165"/>
      <c r="L551" s="165"/>
      <c r="M551" s="165"/>
      <c r="N551" s="165"/>
      <c r="O551" s="165"/>
      <c r="P551" s="165"/>
      <c r="Q551" s="165"/>
      <c r="R551" s="165"/>
      <c r="S551" s="165"/>
      <c r="T551" s="165"/>
      <c r="U551" s="165"/>
      <c r="V551" s="165"/>
      <c r="W551" s="165"/>
      <c r="X551" s="165"/>
      <c r="Y551" s="165"/>
      <c r="Z551" s="165"/>
    </row>
    <row r="552" spans="1:26" ht="12.75" customHeight="1">
      <c r="A552" s="165"/>
      <c r="B552" s="165"/>
      <c r="C552" s="165"/>
      <c r="D552" s="165"/>
      <c r="E552" s="165"/>
      <c r="F552" s="165"/>
      <c r="G552" s="165"/>
      <c r="H552" s="165"/>
      <c r="I552" s="165"/>
      <c r="J552" s="165"/>
      <c r="K552" s="165"/>
      <c r="L552" s="165"/>
      <c r="M552" s="165"/>
      <c r="N552" s="165"/>
      <c r="O552" s="165"/>
      <c r="P552" s="165"/>
      <c r="Q552" s="165"/>
      <c r="R552" s="165"/>
      <c r="S552" s="165"/>
      <c r="T552" s="165"/>
      <c r="U552" s="165"/>
      <c r="V552" s="165"/>
      <c r="W552" s="165"/>
      <c r="X552" s="165"/>
      <c r="Y552" s="165"/>
      <c r="Z552" s="165"/>
    </row>
    <row r="553" spans="1:26" ht="12.75" customHeight="1">
      <c r="A553" s="165"/>
      <c r="B553" s="165"/>
      <c r="C553" s="165"/>
      <c r="D553" s="165"/>
      <c r="E553" s="165"/>
      <c r="F553" s="165"/>
      <c r="G553" s="165"/>
      <c r="H553" s="165"/>
      <c r="I553" s="165"/>
      <c r="J553" s="165"/>
      <c r="K553" s="165"/>
      <c r="L553" s="165"/>
      <c r="M553" s="165"/>
      <c r="N553" s="165"/>
      <c r="O553" s="165"/>
      <c r="P553" s="165"/>
      <c r="Q553" s="165"/>
      <c r="R553" s="165"/>
      <c r="S553" s="165"/>
      <c r="T553" s="165"/>
      <c r="U553" s="165"/>
      <c r="V553" s="165"/>
      <c r="W553" s="165"/>
      <c r="X553" s="165"/>
      <c r="Y553" s="165"/>
      <c r="Z553" s="165"/>
    </row>
    <row r="554" spans="1:26" ht="12.75" customHeight="1">
      <c r="A554" s="165"/>
      <c r="B554" s="165"/>
      <c r="C554" s="165"/>
      <c r="D554" s="165"/>
      <c r="E554" s="165"/>
      <c r="F554" s="165"/>
      <c r="G554" s="165"/>
      <c r="H554" s="165"/>
      <c r="I554" s="165"/>
      <c r="J554" s="165"/>
      <c r="K554" s="165"/>
      <c r="L554" s="165"/>
      <c r="M554" s="165"/>
      <c r="N554" s="165"/>
      <c r="O554" s="165"/>
      <c r="P554" s="165"/>
      <c r="Q554" s="165"/>
      <c r="R554" s="165"/>
      <c r="S554" s="165"/>
      <c r="T554" s="165"/>
      <c r="U554" s="165"/>
      <c r="V554" s="165"/>
      <c r="W554" s="165"/>
      <c r="X554" s="165"/>
      <c r="Y554" s="165"/>
      <c r="Z554" s="165"/>
    </row>
    <row r="555" spans="1:26" ht="12.75" customHeight="1">
      <c r="A555" s="165"/>
      <c r="B555" s="165"/>
      <c r="C555" s="165"/>
      <c r="D555" s="165"/>
      <c r="E555" s="165"/>
      <c r="F555" s="165"/>
      <c r="G555" s="165"/>
      <c r="H555" s="165"/>
      <c r="I555" s="165"/>
      <c r="J555" s="165"/>
      <c r="K555" s="165"/>
      <c r="L555" s="165"/>
      <c r="M555" s="165"/>
      <c r="N555" s="165"/>
      <c r="O555" s="165"/>
      <c r="P555" s="165"/>
      <c r="Q555" s="165"/>
      <c r="R555" s="165"/>
      <c r="S555" s="165"/>
      <c r="T555" s="165"/>
      <c r="U555" s="165"/>
      <c r="V555" s="165"/>
      <c r="W555" s="165"/>
      <c r="X555" s="165"/>
      <c r="Y555" s="165"/>
      <c r="Z555" s="165"/>
    </row>
    <row r="556" spans="1:26" ht="12.75" customHeight="1">
      <c r="A556" s="165"/>
      <c r="B556" s="165"/>
      <c r="C556" s="165"/>
      <c r="D556" s="165"/>
      <c r="E556" s="165"/>
      <c r="F556" s="165"/>
      <c r="G556" s="165"/>
      <c r="H556" s="165"/>
      <c r="I556" s="165"/>
      <c r="J556" s="165"/>
      <c r="K556" s="165"/>
      <c r="L556" s="165"/>
      <c r="M556" s="165"/>
      <c r="N556" s="165"/>
      <c r="O556" s="165"/>
      <c r="P556" s="165"/>
      <c r="Q556" s="165"/>
      <c r="R556" s="165"/>
      <c r="S556" s="165"/>
      <c r="T556" s="165"/>
      <c r="U556" s="165"/>
      <c r="V556" s="165"/>
      <c r="W556" s="165"/>
      <c r="X556" s="165"/>
      <c r="Y556" s="165"/>
      <c r="Z556" s="165"/>
    </row>
    <row r="557" spans="1:26" ht="12.75" customHeight="1">
      <c r="A557" s="165"/>
      <c r="B557" s="165"/>
      <c r="C557" s="165"/>
      <c r="D557" s="165"/>
      <c r="E557" s="165"/>
      <c r="F557" s="165"/>
      <c r="G557" s="165"/>
      <c r="H557" s="165"/>
      <c r="I557" s="165"/>
      <c r="J557" s="165"/>
      <c r="K557" s="165"/>
      <c r="L557" s="165"/>
      <c r="M557" s="165"/>
      <c r="N557" s="165"/>
      <c r="O557" s="165"/>
      <c r="P557" s="165"/>
      <c r="Q557" s="165"/>
      <c r="R557" s="165"/>
      <c r="S557" s="165"/>
      <c r="T557" s="165"/>
      <c r="U557" s="165"/>
      <c r="V557" s="165"/>
      <c r="W557" s="165"/>
      <c r="X557" s="165"/>
      <c r="Y557" s="165"/>
      <c r="Z557" s="165"/>
    </row>
    <row r="558" spans="1:26" ht="12.75" customHeight="1">
      <c r="A558" s="165"/>
      <c r="B558" s="165"/>
      <c r="C558" s="165"/>
      <c r="D558" s="165"/>
      <c r="E558" s="165"/>
      <c r="F558" s="165"/>
      <c r="G558" s="165"/>
      <c r="H558" s="165"/>
      <c r="I558" s="165"/>
      <c r="J558" s="165"/>
      <c r="K558" s="165"/>
      <c r="L558" s="165"/>
      <c r="M558" s="165"/>
      <c r="N558" s="165"/>
      <c r="O558" s="165"/>
      <c r="P558" s="165"/>
      <c r="Q558" s="165"/>
      <c r="R558" s="165"/>
      <c r="S558" s="165"/>
      <c r="T558" s="165"/>
      <c r="U558" s="165"/>
      <c r="V558" s="165"/>
      <c r="W558" s="165"/>
      <c r="X558" s="165"/>
      <c r="Y558" s="165"/>
      <c r="Z558" s="165"/>
    </row>
    <row r="559" spans="1:26" ht="12.75" customHeight="1">
      <c r="A559" s="165"/>
      <c r="B559" s="165"/>
      <c r="C559" s="165"/>
      <c r="D559" s="165"/>
      <c r="E559" s="165"/>
      <c r="F559" s="165"/>
      <c r="G559" s="165"/>
      <c r="H559" s="165"/>
      <c r="I559" s="165"/>
      <c r="J559" s="165"/>
      <c r="K559" s="165"/>
      <c r="L559" s="165"/>
      <c r="M559" s="165"/>
      <c r="N559" s="165"/>
      <c r="O559" s="165"/>
      <c r="P559" s="165"/>
      <c r="Q559" s="165"/>
      <c r="R559" s="165"/>
      <c r="S559" s="165"/>
      <c r="T559" s="165"/>
      <c r="U559" s="165"/>
      <c r="V559" s="165"/>
      <c r="W559" s="165"/>
      <c r="X559" s="165"/>
      <c r="Y559" s="165"/>
      <c r="Z559" s="165"/>
    </row>
    <row r="560" spans="1:26" ht="12.75" customHeight="1">
      <c r="A560" s="165"/>
      <c r="B560" s="165"/>
      <c r="C560" s="165"/>
      <c r="D560" s="165"/>
      <c r="E560" s="165"/>
      <c r="F560" s="165"/>
      <c r="G560" s="165"/>
      <c r="H560" s="165"/>
      <c r="I560" s="165"/>
      <c r="J560" s="165"/>
      <c r="K560" s="165"/>
      <c r="L560" s="165"/>
      <c r="M560" s="165"/>
      <c r="N560" s="165"/>
      <c r="O560" s="165"/>
      <c r="P560" s="165"/>
      <c r="Q560" s="165"/>
      <c r="R560" s="165"/>
      <c r="S560" s="165"/>
      <c r="T560" s="165"/>
      <c r="U560" s="165"/>
      <c r="V560" s="165"/>
      <c r="W560" s="165"/>
      <c r="X560" s="165"/>
      <c r="Y560" s="165"/>
      <c r="Z560" s="165"/>
    </row>
    <row r="561" spans="1:26" ht="12.75" customHeight="1">
      <c r="A561" s="165"/>
      <c r="B561" s="165"/>
      <c r="C561" s="165"/>
      <c r="D561" s="165"/>
      <c r="E561" s="165"/>
      <c r="F561" s="165"/>
      <c r="G561" s="165"/>
      <c r="H561" s="165"/>
      <c r="I561" s="165"/>
      <c r="J561" s="165"/>
      <c r="K561" s="165"/>
      <c r="L561" s="165"/>
      <c r="M561" s="165"/>
      <c r="N561" s="165"/>
      <c r="O561" s="165"/>
      <c r="P561" s="165"/>
      <c r="Q561" s="165"/>
      <c r="R561" s="165"/>
      <c r="S561" s="165"/>
      <c r="T561" s="165"/>
      <c r="U561" s="165"/>
      <c r="V561" s="165"/>
      <c r="W561" s="165"/>
      <c r="X561" s="165"/>
      <c r="Y561" s="165"/>
      <c r="Z561" s="165"/>
    </row>
    <row r="562" spans="1:26" ht="12.75" customHeight="1">
      <c r="A562" s="165"/>
      <c r="B562" s="165"/>
      <c r="C562" s="165"/>
      <c r="D562" s="165"/>
      <c r="E562" s="165"/>
      <c r="F562" s="165"/>
      <c r="G562" s="165"/>
      <c r="H562" s="165"/>
      <c r="I562" s="165"/>
      <c r="J562" s="165"/>
      <c r="K562" s="165"/>
      <c r="L562" s="165"/>
      <c r="M562" s="165"/>
      <c r="N562" s="165"/>
      <c r="O562" s="165"/>
      <c r="P562" s="165"/>
      <c r="Q562" s="165"/>
      <c r="R562" s="165"/>
      <c r="S562" s="165"/>
      <c r="T562" s="165"/>
      <c r="U562" s="165"/>
      <c r="V562" s="165"/>
      <c r="W562" s="165"/>
      <c r="X562" s="165"/>
      <c r="Y562" s="165"/>
      <c r="Z562" s="165"/>
    </row>
    <row r="563" spans="1:26" ht="12.75" customHeight="1">
      <c r="A563" s="165"/>
      <c r="B563" s="165"/>
      <c r="C563" s="165"/>
      <c r="D563" s="165"/>
      <c r="E563" s="165"/>
      <c r="F563" s="165"/>
      <c r="G563" s="165"/>
      <c r="H563" s="165"/>
      <c r="I563" s="165"/>
      <c r="J563" s="165"/>
      <c r="K563" s="165"/>
      <c r="L563" s="165"/>
      <c r="M563" s="165"/>
      <c r="N563" s="165"/>
      <c r="O563" s="165"/>
      <c r="P563" s="165"/>
      <c r="Q563" s="165"/>
      <c r="R563" s="165"/>
      <c r="S563" s="165"/>
      <c r="T563" s="165"/>
      <c r="U563" s="165"/>
      <c r="V563" s="165"/>
      <c r="W563" s="165"/>
      <c r="X563" s="165"/>
      <c r="Y563" s="165"/>
      <c r="Z563" s="165"/>
    </row>
    <row r="564" spans="1:26" ht="12.75" customHeight="1">
      <c r="A564" s="165"/>
      <c r="B564" s="165"/>
      <c r="C564" s="165"/>
      <c r="D564" s="165"/>
      <c r="E564" s="165"/>
      <c r="F564" s="165"/>
      <c r="G564" s="165"/>
      <c r="H564" s="165"/>
      <c r="I564" s="165"/>
      <c r="J564" s="165"/>
      <c r="K564" s="165"/>
      <c r="L564" s="165"/>
      <c r="M564" s="165"/>
      <c r="N564" s="165"/>
      <c r="O564" s="165"/>
      <c r="P564" s="165"/>
      <c r="Q564" s="165"/>
      <c r="R564" s="165"/>
      <c r="S564" s="165"/>
      <c r="T564" s="165"/>
      <c r="U564" s="165"/>
      <c r="V564" s="165"/>
      <c r="W564" s="165"/>
      <c r="X564" s="165"/>
      <c r="Y564" s="165"/>
      <c r="Z564" s="165"/>
    </row>
    <row r="565" spans="1:26" ht="12.75" customHeight="1">
      <c r="A565" s="165"/>
      <c r="B565" s="165"/>
      <c r="C565" s="165"/>
      <c r="D565" s="165"/>
      <c r="E565" s="165"/>
      <c r="F565" s="165"/>
      <c r="G565" s="165"/>
      <c r="H565" s="165"/>
      <c r="I565" s="165"/>
      <c r="J565" s="165"/>
      <c r="K565" s="165"/>
      <c r="L565" s="165"/>
      <c r="M565" s="165"/>
      <c r="N565" s="165"/>
      <c r="O565" s="165"/>
      <c r="P565" s="165"/>
      <c r="Q565" s="165"/>
      <c r="R565" s="165"/>
      <c r="S565" s="165"/>
      <c r="T565" s="165"/>
      <c r="U565" s="165"/>
      <c r="V565" s="165"/>
      <c r="W565" s="165"/>
      <c r="X565" s="165"/>
      <c r="Y565" s="165"/>
      <c r="Z565" s="165"/>
    </row>
    <row r="566" spans="1:26" ht="12.75" customHeight="1">
      <c r="A566" s="165"/>
      <c r="B566" s="165"/>
      <c r="C566" s="165"/>
      <c r="D566" s="165"/>
      <c r="E566" s="165"/>
      <c r="F566" s="165"/>
      <c r="G566" s="165"/>
      <c r="H566" s="165"/>
      <c r="I566" s="165"/>
      <c r="J566" s="165"/>
      <c r="K566" s="165"/>
      <c r="L566" s="165"/>
      <c r="M566" s="165"/>
      <c r="N566" s="165"/>
      <c r="O566" s="165"/>
      <c r="P566" s="165"/>
      <c r="Q566" s="165"/>
      <c r="R566" s="165"/>
      <c r="S566" s="165"/>
      <c r="T566" s="165"/>
      <c r="U566" s="165"/>
      <c r="V566" s="165"/>
      <c r="W566" s="165"/>
      <c r="X566" s="165"/>
      <c r="Y566" s="165"/>
      <c r="Z566" s="165"/>
    </row>
    <row r="567" spans="1:26" ht="12.75" customHeight="1">
      <c r="A567" s="165"/>
      <c r="B567" s="165"/>
      <c r="C567" s="165"/>
      <c r="D567" s="165"/>
      <c r="E567" s="165"/>
      <c r="F567" s="165"/>
      <c r="G567" s="165"/>
      <c r="H567" s="165"/>
      <c r="I567" s="165"/>
      <c r="J567" s="165"/>
      <c r="K567" s="165"/>
      <c r="L567" s="165"/>
      <c r="M567" s="165"/>
      <c r="N567" s="165"/>
      <c r="O567" s="165"/>
      <c r="P567" s="165"/>
      <c r="Q567" s="165"/>
      <c r="R567" s="165"/>
      <c r="S567" s="165"/>
      <c r="T567" s="165"/>
      <c r="U567" s="165"/>
      <c r="V567" s="165"/>
      <c r="W567" s="165"/>
      <c r="X567" s="165"/>
      <c r="Y567" s="165"/>
      <c r="Z567" s="165"/>
    </row>
    <row r="568" spans="1:26" ht="12.75" customHeight="1">
      <c r="A568" s="165"/>
      <c r="B568" s="165"/>
      <c r="C568" s="165"/>
      <c r="D568" s="165"/>
      <c r="E568" s="165"/>
      <c r="F568" s="165"/>
      <c r="G568" s="165"/>
      <c r="H568" s="165"/>
      <c r="I568" s="165"/>
      <c r="J568" s="165"/>
      <c r="K568" s="165"/>
      <c r="L568" s="165"/>
      <c r="M568" s="165"/>
      <c r="N568" s="165"/>
      <c r="O568" s="165"/>
      <c r="P568" s="165"/>
      <c r="Q568" s="165"/>
      <c r="R568" s="165"/>
      <c r="S568" s="165"/>
      <c r="T568" s="165"/>
      <c r="U568" s="165"/>
      <c r="V568" s="165"/>
      <c r="W568" s="165"/>
      <c r="X568" s="165"/>
      <c r="Y568" s="165"/>
      <c r="Z568" s="165"/>
    </row>
    <row r="569" spans="1:26" ht="12.75" customHeight="1">
      <c r="A569" s="165"/>
      <c r="B569" s="165"/>
      <c r="C569" s="165"/>
      <c r="D569" s="165"/>
      <c r="E569" s="165"/>
      <c r="F569" s="165"/>
      <c r="G569" s="165"/>
      <c r="H569" s="165"/>
      <c r="I569" s="165"/>
      <c r="J569" s="165"/>
      <c r="K569" s="165"/>
      <c r="L569" s="165"/>
      <c r="M569" s="165"/>
      <c r="N569" s="165"/>
      <c r="O569" s="165"/>
      <c r="P569" s="165"/>
      <c r="Q569" s="165"/>
      <c r="R569" s="165"/>
      <c r="S569" s="165"/>
      <c r="T569" s="165"/>
      <c r="U569" s="165"/>
      <c r="V569" s="165"/>
      <c r="W569" s="165"/>
      <c r="X569" s="165"/>
      <c r="Y569" s="165"/>
      <c r="Z569" s="165"/>
    </row>
    <row r="570" spans="1:26" ht="12.75" customHeight="1">
      <c r="A570" s="165"/>
      <c r="B570" s="165"/>
      <c r="C570" s="165"/>
      <c r="D570" s="165"/>
      <c r="E570" s="165"/>
      <c r="F570" s="165"/>
      <c r="G570" s="165"/>
      <c r="H570" s="165"/>
      <c r="I570" s="165"/>
      <c r="J570" s="165"/>
      <c r="K570" s="165"/>
      <c r="L570" s="165"/>
      <c r="M570" s="165"/>
      <c r="N570" s="165"/>
      <c r="O570" s="165"/>
      <c r="P570" s="165"/>
      <c r="Q570" s="165"/>
      <c r="R570" s="165"/>
      <c r="S570" s="165"/>
      <c r="T570" s="165"/>
      <c r="U570" s="165"/>
      <c r="V570" s="165"/>
      <c r="W570" s="165"/>
      <c r="X570" s="165"/>
      <c r="Y570" s="165"/>
      <c r="Z570" s="165"/>
    </row>
    <row r="571" spans="1:26" ht="12.75" customHeight="1">
      <c r="A571" s="165"/>
      <c r="B571" s="165"/>
      <c r="C571" s="165"/>
      <c r="D571" s="165"/>
      <c r="E571" s="165"/>
      <c r="F571" s="165"/>
      <c r="G571" s="165"/>
      <c r="H571" s="165"/>
      <c r="I571" s="165"/>
      <c r="J571" s="165"/>
      <c r="K571" s="165"/>
      <c r="L571" s="165"/>
      <c r="M571" s="165"/>
      <c r="N571" s="165"/>
      <c r="O571" s="165"/>
      <c r="P571" s="165"/>
      <c r="Q571" s="165"/>
      <c r="R571" s="165"/>
      <c r="S571" s="165"/>
      <c r="T571" s="165"/>
      <c r="U571" s="165"/>
      <c r="V571" s="165"/>
      <c r="W571" s="165"/>
      <c r="X571" s="165"/>
      <c r="Y571" s="165"/>
      <c r="Z571" s="165"/>
    </row>
    <row r="572" spans="1:26" ht="12.75" customHeight="1">
      <c r="A572" s="165"/>
      <c r="B572" s="165"/>
      <c r="C572" s="165"/>
      <c r="D572" s="165"/>
      <c r="E572" s="165"/>
      <c r="F572" s="165"/>
      <c r="G572" s="165"/>
      <c r="H572" s="165"/>
      <c r="I572" s="165"/>
      <c r="J572" s="165"/>
      <c r="K572" s="165"/>
      <c r="L572" s="165"/>
      <c r="M572" s="165"/>
      <c r="N572" s="165"/>
      <c r="O572" s="165"/>
      <c r="P572" s="165"/>
      <c r="Q572" s="165"/>
      <c r="R572" s="165"/>
      <c r="S572" s="165"/>
      <c r="T572" s="165"/>
      <c r="U572" s="165"/>
      <c r="V572" s="165"/>
      <c r="W572" s="165"/>
      <c r="X572" s="165"/>
      <c r="Y572" s="165"/>
      <c r="Z572" s="165"/>
    </row>
    <row r="573" spans="1:26" ht="12.75" customHeight="1">
      <c r="A573" s="165"/>
      <c r="B573" s="165"/>
      <c r="C573" s="165"/>
      <c r="D573" s="165"/>
      <c r="E573" s="165"/>
      <c r="F573" s="165"/>
      <c r="G573" s="165"/>
      <c r="H573" s="165"/>
      <c r="I573" s="165"/>
      <c r="J573" s="165"/>
      <c r="K573" s="165"/>
      <c r="L573" s="165"/>
      <c r="M573" s="165"/>
      <c r="N573" s="165"/>
      <c r="O573" s="165"/>
      <c r="P573" s="165"/>
      <c r="Q573" s="165"/>
      <c r="R573" s="165"/>
      <c r="S573" s="165"/>
      <c r="T573" s="165"/>
      <c r="U573" s="165"/>
      <c r="V573" s="165"/>
      <c r="W573" s="165"/>
      <c r="X573" s="165"/>
      <c r="Y573" s="165"/>
      <c r="Z573" s="165"/>
    </row>
    <row r="574" spans="1:26" ht="12.75" customHeight="1">
      <c r="A574" s="165"/>
      <c r="B574" s="165"/>
      <c r="C574" s="165"/>
      <c r="D574" s="165"/>
      <c r="E574" s="165"/>
      <c r="F574" s="165"/>
      <c r="G574" s="165"/>
      <c r="H574" s="165"/>
      <c r="I574" s="165"/>
      <c r="J574" s="165"/>
      <c r="K574" s="165"/>
      <c r="L574" s="165"/>
      <c r="M574" s="165"/>
      <c r="N574" s="165"/>
      <c r="O574" s="165"/>
      <c r="P574" s="165"/>
      <c r="Q574" s="165"/>
      <c r="R574" s="165"/>
      <c r="S574" s="165"/>
      <c r="T574" s="165"/>
      <c r="U574" s="165"/>
      <c r="V574" s="165"/>
      <c r="W574" s="165"/>
      <c r="X574" s="165"/>
      <c r="Y574" s="165"/>
      <c r="Z574" s="165"/>
    </row>
    <row r="575" spans="1:26" ht="12.75" customHeight="1">
      <c r="A575" s="165"/>
      <c r="B575" s="165"/>
      <c r="C575" s="165"/>
      <c r="D575" s="165"/>
      <c r="E575" s="165"/>
      <c r="F575" s="165"/>
      <c r="G575" s="165"/>
      <c r="H575" s="165"/>
      <c r="I575" s="165"/>
      <c r="J575" s="165"/>
      <c r="K575" s="165"/>
      <c r="L575" s="165"/>
      <c r="M575" s="165"/>
      <c r="N575" s="165"/>
      <c r="O575" s="165"/>
      <c r="P575" s="165"/>
      <c r="Q575" s="165"/>
      <c r="R575" s="165"/>
      <c r="S575" s="165"/>
      <c r="T575" s="165"/>
      <c r="U575" s="165"/>
      <c r="V575" s="165"/>
      <c r="W575" s="165"/>
      <c r="X575" s="165"/>
      <c r="Y575" s="165"/>
      <c r="Z575" s="165"/>
    </row>
    <row r="576" spans="1:26" ht="12.75" customHeight="1">
      <c r="A576" s="165"/>
      <c r="B576" s="165"/>
      <c r="C576" s="165"/>
      <c r="D576" s="165"/>
      <c r="E576" s="165"/>
      <c r="F576" s="165"/>
      <c r="G576" s="165"/>
      <c r="H576" s="165"/>
      <c r="I576" s="165"/>
      <c r="J576" s="165"/>
      <c r="K576" s="165"/>
      <c r="L576" s="165"/>
      <c r="M576" s="165"/>
      <c r="N576" s="165"/>
      <c r="O576" s="165"/>
      <c r="P576" s="165"/>
      <c r="Q576" s="165"/>
      <c r="R576" s="165"/>
      <c r="S576" s="165"/>
      <c r="T576" s="165"/>
      <c r="U576" s="165"/>
      <c r="V576" s="165"/>
      <c r="W576" s="165"/>
      <c r="X576" s="165"/>
      <c r="Y576" s="165"/>
      <c r="Z576" s="165"/>
    </row>
    <row r="577" spans="1:26" ht="12.75" customHeight="1">
      <c r="A577" s="165"/>
      <c r="B577" s="165"/>
      <c r="C577" s="165"/>
      <c r="D577" s="165"/>
      <c r="E577" s="165"/>
      <c r="F577" s="165"/>
      <c r="G577" s="165"/>
      <c r="H577" s="165"/>
      <c r="I577" s="165"/>
      <c r="J577" s="165"/>
      <c r="K577" s="165"/>
      <c r="L577" s="165"/>
      <c r="M577" s="165"/>
      <c r="N577" s="165"/>
      <c r="O577" s="165"/>
      <c r="P577" s="165"/>
      <c r="Q577" s="165"/>
      <c r="R577" s="165"/>
      <c r="S577" s="165"/>
      <c r="T577" s="165"/>
      <c r="U577" s="165"/>
      <c r="V577" s="165"/>
      <c r="W577" s="165"/>
      <c r="X577" s="165"/>
      <c r="Y577" s="165"/>
      <c r="Z577" s="165"/>
    </row>
    <row r="578" spans="1:26" ht="12.75" customHeight="1">
      <c r="A578" s="165"/>
      <c r="B578" s="165"/>
      <c r="C578" s="165"/>
      <c r="D578" s="165"/>
      <c r="E578" s="165"/>
      <c r="F578" s="165"/>
      <c r="G578" s="165"/>
      <c r="H578" s="165"/>
      <c r="I578" s="165"/>
      <c r="J578" s="165"/>
      <c r="K578" s="165"/>
      <c r="L578" s="165"/>
      <c r="M578" s="165"/>
      <c r="N578" s="165"/>
      <c r="O578" s="165"/>
      <c r="P578" s="165"/>
      <c r="Q578" s="165"/>
      <c r="R578" s="165"/>
      <c r="S578" s="165"/>
      <c r="T578" s="165"/>
      <c r="U578" s="165"/>
      <c r="V578" s="165"/>
      <c r="W578" s="165"/>
      <c r="X578" s="165"/>
      <c r="Y578" s="165"/>
      <c r="Z578" s="165"/>
    </row>
    <row r="579" spans="1:26" ht="12.75" customHeight="1">
      <c r="A579" s="165"/>
      <c r="B579" s="165"/>
      <c r="C579" s="165"/>
      <c r="D579" s="165"/>
      <c r="E579" s="165"/>
      <c r="F579" s="165"/>
      <c r="G579" s="165"/>
      <c r="H579" s="165"/>
      <c r="I579" s="165"/>
      <c r="J579" s="165"/>
      <c r="K579" s="165"/>
      <c r="L579" s="165"/>
      <c r="M579" s="165"/>
      <c r="N579" s="165"/>
      <c r="O579" s="165"/>
      <c r="P579" s="165"/>
      <c r="Q579" s="165"/>
      <c r="R579" s="165"/>
      <c r="S579" s="165"/>
      <c r="T579" s="165"/>
      <c r="U579" s="165"/>
      <c r="V579" s="165"/>
      <c r="W579" s="165"/>
      <c r="X579" s="165"/>
      <c r="Y579" s="165"/>
      <c r="Z579" s="165"/>
    </row>
    <row r="580" spans="1:26" ht="12.75" customHeight="1">
      <c r="A580" s="165"/>
      <c r="B580" s="165"/>
      <c r="C580" s="165"/>
      <c r="D580" s="165"/>
      <c r="E580" s="165"/>
      <c r="F580" s="165"/>
      <c r="G580" s="165"/>
      <c r="H580" s="165"/>
      <c r="I580" s="165"/>
      <c r="J580" s="165"/>
      <c r="K580" s="165"/>
      <c r="L580" s="165"/>
      <c r="M580" s="165"/>
      <c r="N580" s="165"/>
      <c r="O580" s="165"/>
      <c r="P580" s="165"/>
      <c r="Q580" s="165"/>
      <c r="R580" s="165"/>
      <c r="S580" s="165"/>
      <c r="T580" s="165"/>
      <c r="U580" s="165"/>
      <c r="V580" s="165"/>
      <c r="W580" s="165"/>
      <c r="X580" s="165"/>
      <c r="Y580" s="165"/>
      <c r="Z580" s="165"/>
    </row>
    <row r="581" spans="1:26" ht="12.75" customHeight="1">
      <c r="A581" s="165"/>
      <c r="B581" s="165"/>
      <c r="C581" s="165"/>
      <c r="D581" s="165"/>
      <c r="E581" s="165"/>
      <c r="F581" s="165"/>
      <c r="G581" s="165"/>
      <c r="H581" s="165"/>
      <c r="I581" s="165"/>
      <c r="J581" s="165"/>
      <c r="K581" s="165"/>
      <c r="L581" s="165"/>
      <c r="M581" s="165"/>
      <c r="N581" s="165"/>
      <c r="O581" s="165"/>
      <c r="P581" s="165"/>
      <c r="Q581" s="165"/>
      <c r="R581" s="165"/>
      <c r="S581" s="165"/>
      <c r="T581" s="165"/>
      <c r="U581" s="165"/>
      <c r="V581" s="165"/>
      <c r="W581" s="165"/>
      <c r="X581" s="165"/>
      <c r="Y581" s="165"/>
      <c r="Z581" s="165"/>
    </row>
    <row r="582" spans="1:26" ht="12.75" customHeight="1">
      <c r="A582" s="165"/>
      <c r="B582" s="165"/>
      <c r="C582" s="165"/>
      <c r="D582" s="165"/>
      <c r="E582" s="165"/>
      <c r="F582" s="165"/>
      <c r="G582" s="165"/>
      <c r="H582" s="165"/>
      <c r="I582" s="165"/>
      <c r="J582" s="165"/>
      <c r="K582" s="165"/>
      <c r="L582" s="165"/>
      <c r="M582" s="165"/>
      <c r="N582" s="165"/>
      <c r="O582" s="165"/>
      <c r="P582" s="165"/>
      <c r="Q582" s="165"/>
      <c r="R582" s="165"/>
      <c r="S582" s="165"/>
      <c r="T582" s="165"/>
      <c r="U582" s="165"/>
      <c r="V582" s="165"/>
      <c r="W582" s="165"/>
      <c r="X582" s="165"/>
      <c r="Y582" s="165"/>
      <c r="Z582" s="165"/>
    </row>
    <row r="583" spans="1:26" ht="12.75" customHeight="1">
      <c r="A583" s="165"/>
      <c r="B583" s="165"/>
      <c r="C583" s="165"/>
      <c r="D583" s="165"/>
      <c r="E583" s="165"/>
      <c r="F583" s="165"/>
      <c r="G583" s="165"/>
      <c r="H583" s="165"/>
      <c r="I583" s="165"/>
      <c r="J583" s="165"/>
      <c r="K583" s="165"/>
      <c r="L583" s="165"/>
      <c r="M583" s="165"/>
      <c r="N583" s="165"/>
      <c r="O583" s="165"/>
      <c r="P583" s="165"/>
      <c r="Q583" s="165"/>
      <c r="R583" s="165"/>
      <c r="S583" s="165"/>
      <c r="T583" s="165"/>
      <c r="U583" s="165"/>
      <c r="V583" s="165"/>
      <c r="W583" s="165"/>
      <c r="X583" s="165"/>
      <c r="Y583" s="165"/>
      <c r="Z583" s="165"/>
    </row>
    <row r="584" spans="1:26" ht="12.75" customHeight="1">
      <c r="A584" s="165"/>
      <c r="B584" s="165"/>
      <c r="C584" s="165"/>
      <c r="D584" s="165"/>
      <c r="E584" s="165"/>
      <c r="F584" s="165"/>
      <c r="G584" s="165"/>
      <c r="H584" s="165"/>
      <c r="I584" s="165"/>
      <c r="J584" s="165"/>
      <c r="K584" s="165"/>
      <c r="L584" s="165"/>
      <c r="M584" s="165"/>
      <c r="N584" s="165"/>
      <c r="O584" s="165"/>
      <c r="P584" s="165"/>
      <c r="Q584" s="165"/>
      <c r="R584" s="165"/>
      <c r="S584" s="165"/>
      <c r="T584" s="165"/>
      <c r="U584" s="165"/>
      <c r="V584" s="165"/>
      <c r="W584" s="165"/>
      <c r="X584" s="165"/>
      <c r="Y584" s="165"/>
      <c r="Z584" s="165"/>
    </row>
    <row r="585" spans="1:26" ht="12.75" customHeight="1">
      <c r="A585" s="165"/>
      <c r="B585" s="165"/>
      <c r="C585" s="165"/>
      <c r="D585" s="165"/>
      <c r="E585" s="165"/>
      <c r="F585" s="165"/>
      <c r="G585" s="165"/>
      <c r="H585" s="165"/>
      <c r="I585" s="165"/>
      <c r="J585" s="165"/>
      <c r="K585" s="165"/>
      <c r="L585" s="165"/>
      <c r="M585" s="165"/>
      <c r="N585" s="165"/>
      <c r="O585" s="165"/>
      <c r="P585" s="165"/>
      <c r="Q585" s="165"/>
      <c r="R585" s="165"/>
      <c r="S585" s="165"/>
      <c r="T585" s="165"/>
      <c r="U585" s="165"/>
      <c r="V585" s="165"/>
      <c r="W585" s="165"/>
      <c r="X585" s="165"/>
      <c r="Y585" s="165"/>
      <c r="Z585" s="165"/>
    </row>
    <row r="586" spans="1:26" ht="12.75" customHeight="1">
      <c r="A586" s="165"/>
      <c r="B586" s="165"/>
      <c r="C586" s="165"/>
      <c r="D586" s="165"/>
      <c r="E586" s="165"/>
      <c r="F586" s="165"/>
      <c r="G586" s="165"/>
      <c r="H586" s="165"/>
      <c r="I586" s="165"/>
      <c r="J586" s="165"/>
      <c r="K586" s="165"/>
      <c r="L586" s="165"/>
      <c r="M586" s="165"/>
      <c r="N586" s="165"/>
      <c r="O586" s="165"/>
      <c r="P586" s="165"/>
      <c r="Q586" s="165"/>
      <c r="R586" s="165"/>
      <c r="S586" s="165"/>
      <c r="T586" s="165"/>
      <c r="U586" s="165"/>
      <c r="V586" s="165"/>
      <c r="W586" s="165"/>
      <c r="X586" s="165"/>
      <c r="Y586" s="165"/>
      <c r="Z586" s="165"/>
    </row>
    <row r="587" spans="1:26" ht="12.75" customHeight="1">
      <c r="A587" s="165"/>
      <c r="B587" s="165"/>
      <c r="C587" s="165"/>
      <c r="D587" s="165"/>
      <c r="E587" s="165"/>
      <c r="F587" s="165"/>
      <c r="G587" s="165"/>
      <c r="H587" s="165"/>
      <c r="I587" s="165"/>
      <c r="J587" s="165"/>
      <c r="K587" s="165"/>
      <c r="L587" s="165"/>
      <c r="M587" s="165"/>
      <c r="N587" s="165"/>
      <c r="O587" s="165"/>
      <c r="P587" s="165"/>
      <c r="Q587" s="165"/>
      <c r="R587" s="165"/>
      <c r="S587" s="165"/>
      <c r="T587" s="165"/>
      <c r="U587" s="165"/>
      <c r="V587" s="165"/>
      <c r="W587" s="165"/>
      <c r="X587" s="165"/>
      <c r="Y587" s="165"/>
      <c r="Z587" s="165"/>
    </row>
    <row r="588" spans="1:26" ht="12.75" customHeight="1">
      <c r="A588" s="165"/>
      <c r="B588" s="165"/>
      <c r="C588" s="165"/>
      <c r="D588" s="165"/>
      <c r="E588" s="165"/>
      <c r="F588" s="165"/>
      <c r="G588" s="165"/>
      <c r="H588" s="165"/>
      <c r="I588" s="165"/>
      <c r="J588" s="165"/>
      <c r="K588" s="165"/>
      <c r="L588" s="165"/>
      <c r="M588" s="165"/>
      <c r="N588" s="165"/>
      <c r="O588" s="165"/>
      <c r="P588" s="165"/>
      <c r="Q588" s="165"/>
      <c r="R588" s="165"/>
      <c r="S588" s="165"/>
      <c r="T588" s="165"/>
      <c r="U588" s="165"/>
      <c r="V588" s="165"/>
      <c r="W588" s="165"/>
      <c r="X588" s="165"/>
      <c r="Y588" s="165"/>
      <c r="Z588" s="165"/>
    </row>
    <row r="589" spans="1:26" ht="12.75" customHeight="1">
      <c r="A589" s="165"/>
      <c r="B589" s="165"/>
      <c r="C589" s="165"/>
      <c r="D589" s="165"/>
      <c r="E589" s="165"/>
      <c r="F589" s="165"/>
      <c r="G589" s="165"/>
      <c r="H589" s="165"/>
      <c r="I589" s="165"/>
      <c r="J589" s="165"/>
      <c r="K589" s="165"/>
      <c r="L589" s="165"/>
      <c r="M589" s="165"/>
      <c r="N589" s="165"/>
      <c r="O589" s="165"/>
      <c r="P589" s="165"/>
      <c r="Q589" s="165"/>
      <c r="R589" s="165"/>
      <c r="S589" s="165"/>
      <c r="T589" s="165"/>
      <c r="U589" s="165"/>
      <c r="V589" s="165"/>
      <c r="W589" s="165"/>
      <c r="X589" s="165"/>
      <c r="Y589" s="165"/>
      <c r="Z589" s="165"/>
    </row>
    <row r="590" spans="1:26" ht="12.75" customHeight="1">
      <c r="A590" s="165"/>
      <c r="B590" s="165"/>
      <c r="C590" s="165"/>
      <c r="D590" s="165"/>
      <c r="E590" s="165"/>
      <c r="F590" s="165"/>
      <c r="G590" s="165"/>
      <c r="H590" s="165"/>
      <c r="I590" s="165"/>
      <c r="J590" s="165"/>
      <c r="K590" s="165"/>
      <c r="L590" s="165"/>
      <c r="M590" s="165"/>
      <c r="N590" s="165"/>
      <c r="O590" s="165"/>
      <c r="P590" s="165"/>
      <c r="Q590" s="165"/>
      <c r="R590" s="165"/>
      <c r="S590" s="165"/>
      <c r="T590" s="165"/>
      <c r="U590" s="165"/>
      <c r="V590" s="165"/>
      <c r="W590" s="165"/>
      <c r="X590" s="165"/>
      <c r="Y590" s="165"/>
      <c r="Z590" s="165"/>
    </row>
    <row r="591" spans="1:26" ht="12.75" customHeight="1">
      <c r="A591" s="165"/>
      <c r="B591" s="165"/>
      <c r="C591" s="165"/>
      <c r="D591" s="165"/>
      <c r="E591" s="165"/>
      <c r="F591" s="165"/>
      <c r="G591" s="165"/>
      <c r="H591" s="165"/>
      <c r="I591" s="165"/>
      <c r="J591" s="165"/>
      <c r="K591" s="165"/>
      <c r="L591" s="165"/>
      <c r="M591" s="165"/>
      <c r="N591" s="165"/>
      <c r="O591" s="165"/>
      <c r="P591" s="165"/>
      <c r="Q591" s="165"/>
      <c r="R591" s="165"/>
      <c r="S591" s="165"/>
      <c r="T591" s="165"/>
      <c r="U591" s="165"/>
      <c r="V591" s="165"/>
      <c r="W591" s="165"/>
      <c r="X591" s="165"/>
      <c r="Y591" s="165"/>
      <c r="Z591" s="165"/>
    </row>
    <row r="592" spans="1:26" ht="12.75" customHeight="1">
      <c r="A592" s="165"/>
      <c r="B592" s="165"/>
      <c r="C592" s="165"/>
      <c r="D592" s="165"/>
      <c r="E592" s="165"/>
      <c r="F592" s="165"/>
      <c r="G592" s="165"/>
      <c r="H592" s="165"/>
      <c r="I592" s="165"/>
      <c r="J592" s="165"/>
      <c r="K592" s="165"/>
      <c r="L592" s="165"/>
      <c r="M592" s="165"/>
      <c r="N592" s="165"/>
      <c r="O592" s="165"/>
      <c r="P592" s="165"/>
      <c r="Q592" s="165"/>
      <c r="R592" s="165"/>
      <c r="S592" s="165"/>
      <c r="T592" s="165"/>
      <c r="U592" s="165"/>
      <c r="V592" s="165"/>
      <c r="W592" s="165"/>
      <c r="X592" s="165"/>
      <c r="Y592" s="165"/>
      <c r="Z592" s="165"/>
    </row>
    <row r="593" spans="1:26" ht="12.75" customHeight="1">
      <c r="A593" s="165"/>
      <c r="B593" s="165"/>
      <c r="C593" s="165"/>
      <c r="D593" s="165"/>
      <c r="E593" s="165"/>
      <c r="F593" s="165"/>
      <c r="G593" s="165"/>
      <c r="H593" s="165"/>
      <c r="I593" s="165"/>
      <c r="J593" s="165"/>
      <c r="K593" s="165"/>
      <c r="L593" s="165"/>
      <c r="M593" s="165"/>
      <c r="N593" s="165"/>
      <c r="O593" s="165"/>
      <c r="P593" s="165"/>
      <c r="Q593" s="165"/>
      <c r="R593" s="165"/>
      <c r="S593" s="165"/>
      <c r="T593" s="165"/>
      <c r="U593" s="165"/>
      <c r="V593" s="165"/>
      <c r="W593" s="165"/>
      <c r="X593" s="165"/>
      <c r="Y593" s="165"/>
      <c r="Z593" s="165"/>
    </row>
    <row r="594" spans="1:26" ht="12.75" customHeight="1">
      <c r="A594" s="165"/>
      <c r="B594" s="165"/>
      <c r="C594" s="165"/>
      <c r="D594" s="165"/>
      <c r="E594" s="165"/>
      <c r="F594" s="165"/>
      <c r="G594" s="165"/>
      <c r="H594" s="165"/>
      <c r="I594" s="165"/>
      <c r="J594" s="165"/>
      <c r="K594" s="165"/>
      <c r="L594" s="165"/>
      <c r="M594" s="165"/>
      <c r="N594" s="165"/>
      <c r="O594" s="165"/>
      <c r="P594" s="165"/>
      <c r="Q594" s="165"/>
      <c r="R594" s="165"/>
      <c r="S594" s="165"/>
      <c r="T594" s="165"/>
      <c r="U594" s="165"/>
      <c r="V594" s="165"/>
      <c r="W594" s="165"/>
      <c r="X594" s="165"/>
      <c r="Y594" s="165"/>
      <c r="Z594" s="165"/>
    </row>
    <row r="595" spans="1:26" ht="12.75" customHeight="1">
      <c r="A595" s="165"/>
      <c r="B595" s="165"/>
      <c r="C595" s="165"/>
      <c r="D595" s="165"/>
      <c r="E595" s="165"/>
      <c r="F595" s="165"/>
      <c r="G595" s="165"/>
      <c r="H595" s="165"/>
      <c r="I595" s="165"/>
      <c r="J595" s="165"/>
      <c r="K595" s="165"/>
      <c r="L595" s="165"/>
      <c r="M595" s="165"/>
      <c r="N595" s="165"/>
      <c r="O595" s="165"/>
      <c r="P595" s="165"/>
      <c r="Q595" s="165"/>
      <c r="R595" s="165"/>
      <c r="S595" s="165"/>
      <c r="T595" s="165"/>
      <c r="U595" s="165"/>
      <c r="V595" s="165"/>
      <c r="W595" s="165"/>
      <c r="X595" s="165"/>
      <c r="Y595" s="165"/>
      <c r="Z595" s="165"/>
    </row>
    <row r="596" spans="1:26" ht="12.75" customHeight="1">
      <c r="A596" s="165"/>
      <c r="B596" s="165"/>
      <c r="C596" s="165"/>
      <c r="D596" s="165"/>
      <c r="E596" s="165"/>
      <c r="F596" s="165"/>
      <c r="G596" s="165"/>
      <c r="H596" s="165"/>
      <c r="I596" s="165"/>
      <c r="J596" s="165"/>
      <c r="K596" s="165"/>
      <c r="L596" s="165"/>
      <c r="M596" s="165"/>
      <c r="N596" s="165"/>
      <c r="O596" s="165"/>
      <c r="P596" s="165"/>
      <c r="Q596" s="165"/>
      <c r="R596" s="165"/>
      <c r="S596" s="165"/>
      <c r="T596" s="165"/>
      <c r="U596" s="165"/>
      <c r="V596" s="165"/>
      <c r="W596" s="165"/>
      <c r="X596" s="165"/>
      <c r="Y596" s="165"/>
      <c r="Z596" s="165"/>
    </row>
    <row r="597" spans="1:26" ht="12.75" customHeight="1">
      <c r="A597" s="165"/>
      <c r="B597" s="165"/>
      <c r="C597" s="165"/>
      <c r="D597" s="165"/>
      <c r="E597" s="165"/>
      <c r="F597" s="165"/>
      <c r="G597" s="165"/>
      <c r="H597" s="165"/>
      <c r="I597" s="165"/>
      <c r="J597" s="165"/>
      <c r="K597" s="165"/>
      <c r="L597" s="165"/>
      <c r="M597" s="165"/>
      <c r="N597" s="165"/>
      <c r="O597" s="165"/>
      <c r="P597" s="165"/>
      <c r="Q597" s="165"/>
      <c r="R597" s="165"/>
      <c r="S597" s="165"/>
      <c r="T597" s="165"/>
      <c r="U597" s="165"/>
      <c r="V597" s="165"/>
      <c r="W597" s="165"/>
      <c r="X597" s="165"/>
      <c r="Y597" s="165"/>
      <c r="Z597" s="165"/>
    </row>
    <row r="598" spans="1:26" ht="12.75" customHeight="1">
      <c r="A598" s="165"/>
      <c r="B598" s="165"/>
      <c r="C598" s="165"/>
      <c r="D598" s="165"/>
      <c r="E598" s="165"/>
      <c r="F598" s="165"/>
      <c r="G598" s="165"/>
      <c r="H598" s="165"/>
      <c r="I598" s="165"/>
      <c r="J598" s="165"/>
      <c r="K598" s="165"/>
      <c r="L598" s="165"/>
      <c r="M598" s="165"/>
      <c r="N598" s="165"/>
      <c r="O598" s="165"/>
      <c r="P598" s="165"/>
      <c r="Q598" s="165"/>
      <c r="R598" s="165"/>
      <c r="S598" s="165"/>
      <c r="T598" s="165"/>
      <c r="U598" s="165"/>
      <c r="V598" s="165"/>
      <c r="W598" s="165"/>
      <c r="X598" s="165"/>
      <c r="Y598" s="165"/>
      <c r="Z598" s="165"/>
    </row>
    <row r="599" spans="1:26" ht="12.75" customHeight="1">
      <c r="A599" s="165"/>
      <c r="B599" s="165"/>
      <c r="C599" s="165"/>
      <c r="D599" s="165"/>
      <c r="E599" s="165"/>
      <c r="F599" s="165"/>
      <c r="G599" s="165"/>
      <c r="H599" s="165"/>
      <c r="I599" s="165"/>
      <c r="J599" s="165"/>
      <c r="K599" s="165"/>
      <c r="L599" s="165"/>
      <c r="M599" s="165"/>
      <c r="N599" s="165"/>
      <c r="O599" s="165"/>
      <c r="P599" s="165"/>
      <c r="Q599" s="165"/>
      <c r="R599" s="165"/>
      <c r="S599" s="165"/>
      <c r="T599" s="165"/>
      <c r="U599" s="165"/>
      <c r="V599" s="165"/>
      <c r="W599" s="165"/>
      <c r="X599" s="165"/>
      <c r="Y599" s="165"/>
      <c r="Z599" s="165"/>
    </row>
    <row r="600" spans="1:26" ht="12.75" customHeight="1">
      <c r="A600" s="165"/>
      <c r="B600" s="165"/>
      <c r="C600" s="165"/>
      <c r="D600" s="165"/>
      <c r="E600" s="165"/>
      <c r="F600" s="165"/>
      <c r="G600" s="165"/>
      <c r="H600" s="165"/>
      <c r="I600" s="165"/>
      <c r="J600" s="165"/>
      <c r="K600" s="165"/>
      <c r="L600" s="165"/>
      <c r="M600" s="165"/>
      <c r="N600" s="165"/>
      <c r="O600" s="165"/>
      <c r="P600" s="165"/>
      <c r="Q600" s="165"/>
      <c r="R600" s="165"/>
      <c r="S600" s="165"/>
      <c r="T600" s="165"/>
      <c r="U600" s="165"/>
      <c r="V600" s="165"/>
      <c r="W600" s="165"/>
      <c r="X600" s="165"/>
      <c r="Y600" s="165"/>
      <c r="Z600" s="165"/>
    </row>
    <row r="601" spans="1:26" ht="12.75" customHeight="1">
      <c r="A601" s="165"/>
      <c r="B601" s="165"/>
      <c r="C601" s="165"/>
      <c r="D601" s="165"/>
      <c r="E601" s="165"/>
      <c r="F601" s="165"/>
      <c r="G601" s="165"/>
      <c r="H601" s="165"/>
      <c r="I601" s="165"/>
      <c r="J601" s="165"/>
      <c r="K601" s="165"/>
      <c r="L601" s="165"/>
      <c r="M601" s="165"/>
      <c r="N601" s="165"/>
      <c r="O601" s="165"/>
      <c r="P601" s="165"/>
      <c r="Q601" s="165"/>
      <c r="R601" s="165"/>
      <c r="S601" s="165"/>
      <c r="T601" s="165"/>
      <c r="U601" s="165"/>
      <c r="V601" s="165"/>
      <c r="W601" s="165"/>
      <c r="X601" s="165"/>
      <c r="Y601" s="165"/>
      <c r="Z601" s="165"/>
    </row>
    <row r="602" spans="1:26" ht="12.75" customHeight="1">
      <c r="A602" s="165"/>
      <c r="B602" s="165"/>
      <c r="C602" s="165"/>
      <c r="D602" s="165"/>
      <c r="E602" s="165"/>
      <c r="F602" s="165"/>
      <c r="G602" s="165"/>
      <c r="H602" s="165"/>
      <c r="I602" s="165"/>
      <c r="J602" s="165"/>
      <c r="K602" s="165"/>
      <c r="L602" s="165"/>
      <c r="M602" s="165"/>
      <c r="N602" s="165"/>
      <c r="O602" s="165"/>
      <c r="P602" s="165"/>
      <c r="Q602" s="165"/>
      <c r="R602" s="165"/>
      <c r="S602" s="165"/>
      <c r="T602" s="165"/>
      <c r="U602" s="165"/>
      <c r="V602" s="165"/>
      <c r="W602" s="165"/>
      <c r="X602" s="165"/>
      <c r="Y602" s="165"/>
      <c r="Z602" s="165"/>
    </row>
    <row r="603" spans="1:26" ht="12.75" customHeight="1">
      <c r="A603" s="165"/>
      <c r="B603" s="165"/>
      <c r="C603" s="165"/>
      <c r="D603" s="165"/>
      <c r="E603" s="165"/>
      <c r="F603" s="165"/>
      <c r="G603" s="165"/>
      <c r="H603" s="165"/>
      <c r="I603" s="165"/>
      <c r="J603" s="165"/>
      <c r="K603" s="165"/>
      <c r="L603" s="165"/>
      <c r="M603" s="165"/>
      <c r="N603" s="165"/>
      <c r="O603" s="165"/>
      <c r="P603" s="165"/>
      <c r="Q603" s="165"/>
      <c r="R603" s="165"/>
      <c r="S603" s="165"/>
      <c r="T603" s="165"/>
      <c r="U603" s="165"/>
      <c r="V603" s="165"/>
      <c r="W603" s="165"/>
      <c r="X603" s="165"/>
      <c r="Y603" s="165"/>
      <c r="Z603" s="165"/>
    </row>
    <row r="604" spans="1:26" ht="12.75" customHeight="1">
      <c r="A604" s="165"/>
      <c r="B604" s="165"/>
      <c r="C604" s="165"/>
      <c r="D604" s="165"/>
      <c r="E604" s="165"/>
      <c r="F604" s="165"/>
      <c r="G604" s="165"/>
      <c r="H604" s="165"/>
      <c r="I604" s="165"/>
      <c r="J604" s="165"/>
      <c r="K604" s="165"/>
      <c r="L604" s="165"/>
      <c r="M604" s="165"/>
      <c r="N604" s="165"/>
      <c r="O604" s="165"/>
      <c r="P604" s="165"/>
      <c r="Q604" s="165"/>
      <c r="R604" s="165"/>
      <c r="S604" s="165"/>
      <c r="T604" s="165"/>
      <c r="U604" s="165"/>
      <c r="V604" s="165"/>
      <c r="W604" s="165"/>
      <c r="X604" s="165"/>
      <c r="Y604" s="165"/>
      <c r="Z604" s="165"/>
    </row>
    <row r="605" spans="1:26" ht="12.75" customHeight="1">
      <c r="A605" s="165"/>
      <c r="B605" s="165"/>
      <c r="C605" s="165"/>
      <c r="D605" s="165"/>
      <c r="E605" s="165"/>
      <c r="F605" s="165"/>
      <c r="G605" s="165"/>
      <c r="H605" s="165"/>
      <c r="I605" s="165"/>
      <c r="J605" s="165"/>
      <c r="K605" s="165"/>
      <c r="L605" s="165"/>
      <c r="M605" s="165"/>
      <c r="N605" s="165"/>
      <c r="O605" s="165"/>
      <c r="P605" s="165"/>
      <c r="Q605" s="165"/>
      <c r="R605" s="165"/>
      <c r="S605" s="165"/>
      <c r="T605" s="165"/>
      <c r="U605" s="165"/>
      <c r="V605" s="165"/>
      <c r="W605" s="165"/>
      <c r="X605" s="165"/>
      <c r="Y605" s="165"/>
      <c r="Z605" s="165"/>
    </row>
    <row r="606" spans="1:26" ht="12.75" customHeight="1">
      <c r="A606" s="165"/>
      <c r="B606" s="165"/>
      <c r="C606" s="165"/>
      <c r="D606" s="165"/>
      <c r="E606" s="165"/>
      <c r="F606" s="165"/>
      <c r="G606" s="165"/>
      <c r="H606" s="165"/>
      <c r="I606" s="165"/>
      <c r="J606" s="165"/>
      <c r="K606" s="165"/>
      <c r="L606" s="165"/>
      <c r="M606" s="165"/>
      <c r="N606" s="165"/>
      <c r="O606" s="165"/>
      <c r="P606" s="165"/>
      <c r="Q606" s="165"/>
      <c r="R606" s="165"/>
      <c r="S606" s="165"/>
      <c r="T606" s="165"/>
      <c r="U606" s="165"/>
      <c r="V606" s="165"/>
      <c r="W606" s="165"/>
      <c r="X606" s="165"/>
      <c r="Y606" s="165"/>
      <c r="Z606" s="165"/>
    </row>
    <row r="607" spans="1:26" ht="12.75" customHeight="1">
      <c r="A607" s="165"/>
      <c r="B607" s="165"/>
      <c r="C607" s="165"/>
      <c r="D607" s="165"/>
      <c r="E607" s="165"/>
      <c r="F607" s="165"/>
      <c r="G607" s="165"/>
      <c r="H607" s="165"/>
      <c r="I607" s="165"/>
      <c r="J607" s="165"/>
      <c r="K607" s="165"/>
      <c r="L607" s="165"/>
      <c r="M607" s="165"/>
      <c r="N607" s="165"/>
      <c r="O607" s="165"/>
      <c r="P607" s="165"/>
      <c r="Q607" s="165"/>
      <c r="R607" s="165"/>
      <c r="S607" s="165"/>
      <c r="T607" s="165"/>
      <c r="U607" s="165"/>
      <c r="V607" s="165"/>
      <c r="W607" s="165"/>
      <c r="X607" s="165"/>
      <c r="Y607" s="165"/>
      <c r="Z607" s="165"/>
    </row>
    <row r="608" spans="1:26" ht="12.75" customHeight="1">
      <c r="A608" s="165"/>
      <c r="B608" s="165"/>
      <c r="C608" s="165"/>
      <c r="D608" s="165"/>
      <c r="E608" s="165"/>
      <c r="F608" s="165"/>
      <c r="G608" s="165"/>
      <c r="H608" s="165"/>
      <c r="I608" s="165"/>
      <c r="J608" s="165"/>
      <c r="K608" s="165"/>
      <c r="L608" s="165"/>
      <c r="M608" s="165"/>
      <c r="N608" s="165"/>
      <c r="O608" s="165"/>
      <c r="P608" s="165"/>
      <c r="Q608" s="165"/>
      <c r="R608" s="165"/>
      <c r="S608" s="165"/>
      <c r="T608" s="165"/>
      <c r="U608" s="165"/>
      <c r="V608" s="165"/>
      <c r="W608" s="165"/>
      <c r="X608" s="165"/>
      <c r="Y608" s="165"/>
      <c r="Z608" s="165"/>
    </row>
    <row r="609" spans="1:26" ht="12.75" customHeight="1">
      <c r="A609" s="165"/>
      <c r="B609" s="165"/>
      <c r="C609" s="165"/>
      <c r="D609" s="165"/>
      <c r="E609" s="165"/>
      <c r="F609" s="165"/>
      <c r="G609" s="165"/>
      <c r="H609" s="165"/>
      <c r="I609" s="165"/>
      <c r="J609" s="165"/>
      <c r="K609" s="165"/>
      <c r="L609" s="165"/>
      <c r="M609" s="165"/>
      <c r="N609" s="165"/>
      <c r="O609" s="165"/>
      <c r="P609" s="165"/>
      <c r="Q609" s="165"/>
      <c r="R609" s="165"/>
      <c r="S609" s="165"/>
      <c r="T609" s="165"/>
      <c r="U609" s="165"/>
      <c r="V609" s="165"/>
      <c r="W609" s="165"/>
      <c r="X609" s="165"/>
      <c r="Y609" s="165"/>
      <c r="Z609" s="165"/>
    </row>
    <row r="610" spans="1:26" ht="12.75" customHeight="1">
      <c r="A610" s="165"/>
      <c r="B610" s="165"/>
      <c r="C610" s="165"/>
      <c r="D610" s="165"/>
      <c r="E610" s="165"/>
      <c r="F610" s="165"/>
      <c r="G610" s="165"/>
      <c r="H610" s="165"/>
      <c r="I610" s="165"/>
      <c r="J610" s="165"/>
      <c r="K610" s="165"/>
      <c r="L610" s="165"/>
      <c r="M610" s="165"/>
      <c r="N610" s="165"/>
      <c r="O610" s="165"/>
      <c r="P610" s="165"/>
      <c r="Q610" s="165"/>
      <c r="R610" s="165"/>
      <c r="S610" s="165"/>
      <c r="T610" s="165"/>
      <c r="U610" s="165"/>
      <c r="V610" s="165"/>
      <c r="W610" s="165"/>
      <c r="X610" s="165"/>
      <c r="Y610" s="165"/>
      <c r="Z610" s="165"/>
    </row>
    <row r="611" spans="1:26" ht="12.75" customHeight="1">
      <c r="A611" s="165"/>
      <c r="B611" s="165"/>
      <c r="C611" s="165"/>
      <c r="D611" s="165"/>
      <c r="E611" s="165"/>
      <c r="F611" s="165"/>
      <c r="G611" s="165"/>
      <c r="H611" s="165"/>
      <c r="I611" s="165"/>
      <c r="J611" s="165"/>
      <c r="K611" s="165"/>
      <c r="L611" s="165"/>
      <c r="M611" s="165"/>
      <c r="N611" s="165"/>
      <c r="O611" s="165"/>
      <c r="P611" s="165"/>
      <c r="Q611" s="165"/>
      <c r="R611" s="165"/>
      <c r="S611" s="165"/>
      <c r="T611" s="165"/>
      <c r="U611" s="165"/>
      <c r="V611" s="165"/>
      <c r="W611" s="165"/>
      <c r="X611" s="165"/>
      <c r="Y611" s="165"/>
      <c r="Z611" s="165"/>
    </row>
    <row r="612" spans="1:26" ht="12.75" customHeight="1">
      <c r="A612" s="165"/>
      <c r="B612" s="165"/>
      <c r="C612" s="165"/>
      <c r="D612" s="165"/>
      <c r="E612" s="165"/>
      <c r="F612" s="165"/>
      <c r="G612" s="165"/>
      <c r="H612" s="165"/>
      <c r="I612" s="165"/>
      <c r="J612" s="165"/>
      <c r="K612" s="165"/>
      <c r="L612" s="165"/>
      <c r="M612" s="165"/>
      <c r="N612" s="165"/>
      <c r="O612" s="165"/>
      <c r="P612" s="165"/>
      <c r="Q612" s="165"/>
      <c r="R612" s="165"/>
      <c r="S612" s="165"/>
      <c r="T612" s="165"/>
      <c r="U612" s="165"/>
      <c r="V612" s="165"/>
      <c r="W612" s="165"/>
      <c r="X612" s="165"/>
      <c r="Y612" s="165"/>
      <c r="Z612" s="165"/>
    </row>
    <row r="613" spans="1:26" ht="12.75" customHeight="1">
      <c r="A613" s="165"/>
      <c r="B613" s="165"/>
      <c r="C613" s="165"/>
      <c r="D613" s="165"/>
      <c r="E613" s="165"/>
      <c r="F613" s="165"/>
      <c r="G613" s="165"/>
      <c r="H613" s="165"/>
      <c r="I613" s="165"/>
      <c r="J613" s="165"/>
      <c r="K613" s="165"/>
      <c r="L613" s="165"/>
      <c r="M613" s="165"/>
      <c r="N613" s="165"/>
      <c r="O613" s="165"/>
      <c r="P613" s="165"/>
      <c r="Q613" s="165"/>
      <c r="R613" s="165"/>
      <c r="S613" s="165"/>
      <c r="T613" s="165"/>
      <c r="U613" s="165"/>
      <c r="V613" s="165"/>
      <c r="W613" s="165"/>
      <c r="X613" s="165"/>
      <c r="Y613" s="165"/>
      <c r="Z613" s="165"/>
    </row>
    <row r="614" spans="1:26" ht="12.75" customHeight="1">
      <c r="A614" s="165"/>
      <c r="B614" s="165"/>
      <c r="C614" s="165"/>
      <c r="D614" s="165"/>
      <c r="E614" s="165"/>
      <c r="F614" s="165"/>
      <c r="G614" s="165"/>
      <c r="H614" s="165"/>
      <c r="I614" s="165"/>
      <c r="J614" s="165"/>
      <c r="K614" s="165"/>
      <c r="L614" s="165"/>
      <c r="M614" s="165"/>
      <c r="N614" s="165"/>
      <c r="O614" s="165"/>
      <c r="P614" s="165"/>
      <c r="Q614" s="165"/>
      <c r="R614" s="165"/>
      <c r="S614" s="165"/>
      <c r="T614" s="165"/>
      <c r="U614" s="165"/>
      <c r="V614" s="165"/>
      <c r="W614" s="165"/>
      <c r="X614" s="165"/>
      <c r="Y614" s="165"/>
      <c r="Z614" s="165"/>
    </row>
    <row r="615" spans="1:26" ht="12.75" customHeight="1">
      <c r="A615" s="165"/>
      <c r="B615" s="165"/>
      <c r="C615" s="165"/>
      <c r="D615" s="165"/>
      <c r="E615" s="165"/>
      <c r="F615" s="165"/>
      <c r="G615" s="165"/>
      <c r="H615" s="165"/>
      <c r="I615" s="165"/>
      <c r="J615" s="165"/>
      <c r="K615" s="165"/>
      <c r="L615" s="165"/>
      <c r="M615" s="165"/>
      <c r="N615" s="165"/>
      <c r="O615" s="165"/>
      <c r="P615" s="165"/>
      <c r="Q615" s="165"/>
      <c r="R615" s="165"/>
      <c r="S615" s="165"/>
      <c r="T615" s="165"/>
      <c r="U615" s="165"/>
      <c r="V615" s="165"/>
      <c r="W615" s="165"/>
      <c r="X615" s="165"/>
      <c r="Y615" s="165"/>
      <c r="Z615" s="165"/>
    </row>
    <row r="616" spans="1:26" ht="12.75" customHeight="1">
      <c r="A616" s="165"/>
      <c r="B616" s="165"/>
      <c r="C616" s="165"/>
      <c r="D616" s="165"/>
      <c r="E616" s="165"/>
      <c r="F616" s="165"/>
      <c r="G616" s="165"/>
      <c r="H616" s="165"/>
      <c r="I616" s="165"/>
      <c r="J616" s="165"/>
      <c r="K616" s="165"/>
      <c r="L616" s="165"/>
      <c r="M616" s="165"/>
      <c r="N616" s="165"/>
      <c r="O616" s="165"/>
      <c r="P616" s="165"/>
      <c r="Q616" s="165"/>
      <c r="R616" s="165"/>
      <c r="S616" s="165"/>
      <c r="T616" s="165"/>
      <c r="U616" s="165"/>
      <c r="V616" s="165"/>
      <c r="W616" s="165"/>
      <c r="X616" s="165"/>
      <c r="Y616" s="165"/>
      <c r="Z616" s="165"/>
    </row>
    <row r="617" spans="1:26" ht="12.75" customHeight="1">
      <c r="A617" s="165"/>
      <c r="B617" s="165"/>
      <c r="C617" s="165"/>
      <c r="D617" s="165"/>
      <c r="E617" s="165"/>
      <c r="F617" s="165"/>
      <c r="G617" s="165"/>
      <c r="H617" s="165"/>
      <c r="I617" s="165"/>
      <c r="J617" s="165"/>
      <c r="K617" s="165"/>
      <c r="L617" s="165"/>
      <c r="M617" s="165"/>
      <c r="N617" s="165"/>
      <c r="O617" s="165"/>
      <c r="P617" s="165"/>
      <c r="Q617" s="165"/>
      <c r="R617" s="165"/>
      <c r="S617" s="165"/>
      <c r="T617" s="165"/>
      <c r="U617" s="165"/>
      <c r="V617" s="165"/>
      <c r="W617" s="165"/>
      <c r="X617" s="165"/>
      <c r="Y617" s="165"/>
      <c r="Z617" s="165"/>
    </row>
    <row r="618" spans="1:26" ht="12.75" customHeight="1">
      <c r="A618" s="165"/>
      <c r="B618" s="165"/>
      <c r="C618" s="165"/>
      <c r="D618" s="165"/>
      <c r="E618" s="165"/>
      <c r="F618" s="165"/>
      <c r="G618" s="165"/>
      <c r="H618" s="165"/>
      <c r="I618" s="165"/>
      <c r="J618" s="165"/>
      <c r="K618" s="165"/>
      <c r="L618" s="165"/>
      <c r="M618" s="165"/>
      <c r="N618" s="165"/>
      <c r="O618" s="165"/>
      <c r="P618" s="165"/>
      <c r="Q618" s="165"/>
      <c r="R618" s="165"/>
      <c r="S618" s="165"/>
      <c r="T618" s="165"/>
      <c r="U618" s="165"/>
      <c r="V618" s="165"/>
      <c r="W618" s="165"/>
      <c r="X618" s="165"/>
      <c r="Y618" s="165"/>
      <c r="Z618" s="165"/>
    </row>
    <row r="619" spans="1:26" ht="12.75" customHeight="1">
      <c r="A619" s="165"/>
      <c r="B619" s="165"/>
      <c r="C619" s="165"/>
      <c r="D619" s="165"/>
      <c r="E619" s="165"/>
      <c r="F619" s="165"/>
      <c r="G619" s="165"/>
      <c r="H619" s="165"/>
      <c r="I619" s="165"/>
      <c r="J619" s="165"/>
      <c r="K619" s="165"/>
      <c r="L619" s="165"/>
      <c r="M619" s="165"/>
      <c r="N619" s="165"/>
      <c r="O619" s="165"/>
      <c r="P619" s="165"/>
      <c r="Q619" s="165"/>
      <c r="R619" s="165"/>
      <c r="S619" s="165"/>
      <c r="T619" s="165"/>
      <c r="U619" s="165"/>
      <c r="V619" s="165"/>
      <c r="W619" s="165"/>
      <c r="X619" s="165"/>
      <c r="Y619" s="165"/>
      <c r="Z619" s="165"/>
    </row>
    <row r="620" spans="1:26" ht="12.75" customHeight="1">
      <c r="A620" s="165"/>
      <c r="B620" s="165"/>
      <c r="C620" s="165"/>
      <c r="D620" s="165"/>
      <c r="E620" s="165"/>
      <c r="F620" s="165"/>
      <c r="G620" s="165"/>
      <c r="H620" s="165"/>
      <c r="I620" s="165"/>
      <c r="J620" s="165"/>
      <c r="K620" s="165"/>
      <c r="L620" s="165"/>
      <c r="M620" s="165"/>
      <c r="N620" s="165"/>
      <c r="O620" s="165"/>
      <c r="P620" s="165"/>
      <c r="Q620" s="165"/>
      <c r="R620" s="165"/>
      <c r="S620" s="165"/>
      <c r="T620" s="165"/>
      <c r="U620" s="165"/>
      <c r="V620" s="165"/>
      <c r="W620" s="165"/>
      <c r="X620" s="165"/>
      <c r="Y620" s="165"/>
      <c r="Z620" s="165"/>
    </row>
    <row r="621" spans="1:26" ht="12.75" customHeight="1">
      <c r="A621" s="165"/>
      <c r="B621" s="165"/>
      <c r="C621" s="165"/>
      <c r="D621" s="165"/>
      <c r="E621" s="165"/>
      <c r="F621" s="165"/>
      <c r="G621" s="165"/>
      <c r="H621" s="165"/>
      <c r="I621" s="165"/>
      <c r="J621" s="165"/>
      <c r="K621" s="165"/>
      <c r="L621" s="165"/>
      <c r="M621" s="165"/>
      <c r="N621" s="165"/>
      <c r="O621" s="165"/>
      <c r="P621" s="165"/>
      <c r="Q621" s="165"/>
      <c r="R621" s="165"/>
      <c r="S621" s="165"/>
      <c r="T621" s="165"/>
      <c r="U621" s="165"/>
      <c r="V621" s="165"/>
      <c r="W621" s="165"/>
      <c r="X621" s="165"/>
      <c r="Y621" s="165"/>
      <c r="Z621" s="165"/>
    </row>
    <row r="622" spans="1:26" ht="12.75" customHeight="1">
      <c r="A622" s="165"/>
      <c r="B622" s="165"/>
      <c r="C622" s="165"/>
      <c r="D622" s="165"/>
      <c r="E622" s="165"/>
      <c r="F622" s="165"/>
      <c r="G622" s="165"/>
      <c r="H622" s="165"/>
      <c r="I622" s="165"/>
      <c r="J622" s="165"/>
      <c r="K622" s="165"/>
      <c r="L622" s="165"/>
      <c r="M622" s="165"/>
      <c r="N622" s="165"/>
      <c r="O622" s="165"/>
      <c r="P622" s="165"/>
      <c r="Q622" s="165"/>
      <c r="R622" s="165"/>
      <c r="S622" s="165"/>
      <c r="T622" s="165"/>
      <c r="U622" s="165"/>
      <c r="V622" s="165"/>
      <c r="W622" s="165"/>
      <c r="X622" s="165"/>
      <c r="Y622" s="165"/>
      <c r="Z622" s="165"/>
    </row>
    <row r="623" spans="1:26" ht="12.75" customHeight="1">
      <c r="A623" s="165"/>
      <c r="B623" s="165"/>
      <c r="C623" s="165"/>
      <c r="D623" s="165"/>
      <c r="E623" s="165"/>
      <c r="F623" s="165"/>
      <c r="G623" s="165"/>
      <c r="H623" s="165"/>
      <c r="I623" s="165"/>
      <c r="J623" s="165"/>
      <c r="K623" s="165"/>
      <c r="L623" s="165"/>
      <c r="M623" s="165"/>
      <c r="N623" s="165"/>
      <c r="O623" s="165"/>
      <c r="P623" s="165"/>
      <c r="Q623" s="165"/>
      <c r="R623" s="165"/>
      <c r="S623" s="165"/>
      <c r="T623" s="165"/>
      <c r="U623" s="165"/>
      <c r="V623" s="165"/>
      <c r="W623" s="165"/>
      <c r="X623" s="165"/>
      <c r="Y623" s="165"/>
      <c r="Z623" s="165"/>
    </row>
    <row r="624" spans="1:26" ht="12.75" customHeight="1">
      <c r="A624" s="165"/>
      <c r="B624" s="165"/>
      <c r="C624" s="165"/>
      <c r="D624" s="165"/>
      <c r="E624" s="165"/>
      <c r="F624" s="165"/>
      <c r="G624" s="165"/>
      <c r="H624" s="165"/>
      <c r="I624" s="165"/>
      <c r="J624" s="165"/>
      <c r="K624" s="165"/>
      <c r="L624" s="165"/>
      <c r="M624" s="165"/>
      <c r="N624" s="165"/>
      <c r="O624" s="165"/>
      <c r="P624" s="165"/>
      <c r="Q624" s="165"/>
      <c r="R624" s="165"/>
      <c r="S624" s="165"/>
      <c r="T624" s="165"/>
      <c r="U624" s="165"/>
      <c r="V624" s="165"/>
      <c r="W624" s="165"/>
      <c r="X624" s="165"/>
      <c r="Y624" s="165"/>
      <c r="Z624" s="165"/>
    </row>
    <row r="625" spans="1:26" ht="12.75" customHeight="1">
      <c r="A625" s="165"/>
      <c r="B625" s="165"/>
      <c r="C625" s="165"/>
      <c r="D625" s="165"/>
      <c r="E625" s="165"/>
      <c r="F625" s="165"/>
      <c r="G625" s="165"/>
      <c r="H625" s="165"/>
      <c r="I625" s="165"/>
      <c r="J625" s="165"/>
      <c r="K625" s="165"/>
      <c r="L625" s="165"/>
      <c r="M625" s="165"/>
      <c r="N625" s="165"/>
      <c r="O625" s="165"/>
      <c r="P625" s="165"/>
      <c r="Q625" s="165"/>
      <c r="R625" s="165"/>
      <c r="S625" s="165"/>
      <c r="T625" s="165"/>
      <c r="U625" s="165"/>
      <c r="V625" s="165"/>
      <c r="W625" s="165"/>
      <c r="X625" s="165"/>
      <c r="Y625" s="165"/>
      <c r="Z625" s="165"/>
    </row>
    <row r="626" spans="1:26" ht="12.75" customHeight="1">
      <c r="A626" s="165"/>
      <c r="B626" s="165"/>
      <c r="C626" s="165"/>
      <c r="D626" s="165"/>
      <c r="E626" s="165"/>
      <c r="F626" s="165"/>
      <c r="G626" s="165"/>
      <c r="H626" s="165"/>
      <c r="I626" s="165"/>
      <c r="J626" s="165"/>
      <c r="K626" s="165"/>
      <c r="L626" s="165"/>
      <c r="M626" s="165"/>
      <c r="N626" s="165"/>
      <c r="O626" s="165"/>
      <c r="P626" s="165"/>
      <c r="Q626" s="165"/>
      <c r="R626" s="165"/>
      <c r="S626" s="165"/>
      <c r="T626" s="165"/>
      <c r="U626" s="165"/>
      <c r="V626" s="165"/>
      <c r="W626" s="165"/>
      <c r="X626" s="165"/>
      <c r="Y626" s="165"/>
      <c r="Z626" s="165"/>
    </row>
    <row r="627" spans="1:26" ht="12.75" customHeight="1">
      <c r="A627" s="165"/>
      <c r="B627" s="165"/>
      <c r="C627" s="165"/>
      <c r="D627" s="165"/>
      <c r="E627" s="165"/>
      <c r="F627" s="165"/>
      <c r="G627" s="165"/>
      <c r="H627" s="165"/>
      <c r="I627" s="165"/>
      <c r="J627" s="165"/>
      <c r="K627" s="165"/>
      <c r="L627" s="165"/>
      <c r="M627" s="165"/>
      <c r="N627" s="165"/>
      <c r="O627" s="165"/>
      <c r="P627" s="165"/>
      <c r="Q627" s="165"/>
      <c r="R627" s="165"/>
      <c r="S627" s="165"/>
      <c r="T627" s="165"/>
      <c r="U627" s="165"/>
      <c r="V627" s="165"/>
      <c r="W627" s="165"/>
      <c r="X627" s="165"/>
      <c r="Y627" s="165"/>
      <c r="Z627" s="165"/>
    </row>
    <row r="628" spans="1:26" ht="12.75" customHeight="1">
      <c r="A628" s="165"/>
      <c r="B628" s="165"/>
      <c r="C628" s="165"/>
      <c r="D628" s="165"/>
      <c r="E628" s="165"/>
      <c r="F628" s="165"/>
      <c r="G628" s="165"/>
      <c r="H628" s="165"/>
      <c r="I628" s="165"/>
      <c r="J628" s="165"/>
      <c r="K628" s="165"/>
      <c r="L628" s="165"/>
      <c r="M628" s="165"/>
      <c r="N628" s="165"/>
      <c r="O628" s="165"/>
      <c r="P628" s="165"/>
      <c r="Q628" s="165"/>
      <c r="R628" s="165"/>
      <c r="S628" s="165"/>
      <c r="T628" s="165"/>
      <c r="U628" s="165"/>
      <c r="V628" s="165"/>
      <c r="W628" s="165"/>
      <c r="X628" s="165"/>
      <c r="Y628" s="165"/>
      <c r="Z628" s="165"/>
    </row>
    <row r="629" spans="1:26" ht="12.75" customHeight="1">
      <c r="A629" s="165"/>
      <c r="B629" s="165"/>
      <c r="C629" s="165"/>
      <c r="D629" s="165"/>
      <c r="E629" s="165"/>
      <c r="F629" s="165"/>
      <c r="G629" s="165"/>
      <c r="H629" s="165"/>
      <c r="I629" s="165"/>
      <c r="J629" s="165"/>
      <c r="K629" s="165"/>
      <c r="L629" s="165"/>
      <c r="M629" s="165"/>
      <c r="N629" s="165"/>
      <c r="O629" s="165"/>
      <c r="P629" s="165"/>
      <c r="Q629" s="165"/>
      <c r="R629" s="165"/>
      <c r="S629" s="165"/>
      <c r="T629" s="165"/>
      <c r="U629" s="165"/>
      <c r="V629" s="165"/>
      <c r="W629" s="165"/>
      <c r="X629" s="165"/>
      <c r="Y629" s="165"/>
      <c r="Z629" s="165"/>
    </row>
    <row r="630" spans="1:26" ht="12.75" customHeight="1">
      <c r="A630" s="165"/>
      <c r="B630" s="165"/>
      <c r="C630" s="165"/>
      <c r="D630" s="165"/>
      <c r="E630" s="165"/>
      <c r="F630" s="165"/>
      <c r="G630" s="165"/>
      <c r="H630" s="165"/>
      <c r="I630" s="165"/>
      <c r="J630" s="165"/>
      <c r="K630" s="165"/>
      <c r="L630" s="165"/>
      <c r="M630" s="165"/>
      <c r="N630" s="165"/>
      <c r="O630" s="165"/>
      <c r="P630" s="165"/>
      <c r="Q630" s="165"/>
      <c r="R630" s="165"/>
      <c r="S630" s="165"/>
      <c r="T630" s="165"/>
      <c r="U630" s="165"/>
      <c r="V630" s="165"/>
      <c r="W630" s="165"/>
      <c r="X630" s="165"/>
      <c r="Y630" s="165"/>
      <c r="Z630" s="165"/>
    </row>
    <row r="631" spans="1:26" ht="12.75" customHeight="1">
      <c r="A631" s="165"/>
      <c r="B631" s="165"/>
      <c r="C631" s="165"/>
      <c r="D631" s="165"/>
      <c r="E631" s="165"/>
      <c r="F631" s="165"/>
      <c r="G631" s="165"/>
      <c r="H631" s="165"/>
      <c r="I631" s="165"/>
      <c r="J631" s="165"/>
      <c r="K631" s="165"/>
      <c r="L631" s="165"/>
      <c r="M631" s="165"/>
      <c r="N631" s="165"/>
      <c r="O631" s="165"/>
      <c r="P631" s="165"/>
      <c r="Q631" s="165"/>
      <c r="R631" s="165"/>
      <c r="S631" s="165"/>
      <c r="T631" s="165"/>
      <c r="U631" s="165"/>
      <c r="V631" s="165"/>
      <c r="W631" s="165"/>
      <c r="X631" s="165"/>
      <c r="Y631" s="165"/>
      <c r="Z631" s="165"/>
    </row>
    <row r="632" spans="1:26" ht="12.75" customHeight="1">
      <c r="A632" s="165"/>
      <c r="B632" s="165"/>
      <c r="C632" s="165"/>
      <c r="D632" s="165"/>
      <c r="E632" s="165"/>
      <c r="F632" s="165"/>
      <c r="G632" s="165"/>
      <c r="H632" s="165"/>
      <c r="I632" s="165"/>
      <c r="J632" s="165"/>
      <c r="K632" s="165"/>
      <c r="L632" s="165"/>
      <c r="M632" s="165"/>
      <c r="N632" s="165"/>
      <c r="O632" s="165"/>
      <c r="P632" s="165"/>
      <c r="Q632" s="165"/>
      <c r="R632" s="165"/>
      <c r="S632" s="165"/>
      <c r="T632" s="165"/>
      <c r="U632" s="165"/>
      <c r="V632" s="165"/>
      <c r="W632" s="165"/>
      <c r="X632" s="165"/>
      <c r="Y632" s="165"/>
      <c r="Z632" s="165"/>
    </row>
    <row r="633" spans="1:26" ht="12.75" customHeight="1">
      <c r="A633" s="165"/>
      <c r="B633" s="165"/>
      <c r="C633" s="165"/>
      <c r="D633" s="165"/>
      <c r="E633" s="165"/>
      <c r="F633" s="165"/>
      <c r="G633" s="165"/>
      <c r="H633" s="165"/>
      <c r="I633" s="165"/>
      <c r="J633" s="165"/>
      <c r="K633" s="165"/>
      <c r="L633" s="165"/>
      <c r="M633" s="165"/>
      <c r="N633" s="165"/>
      <c r="O633" s="165"/>
      <c r="P633" s="165"/>
      <c r="Q633" s="165"/>
      <c r="R633" s="165"/>
      <c r="S633" s="165"/>
      <c r="T633" s="165"/>
      <c r="U633" s="165"/>
      <c r="V633" s="165"/>
      <c r="W633" s="165"/>
      <c r="X633" s="165"/>
      <c r="Y633" s="165"/>
      <c r="Z633" s="165"/>
    </row>
    <row r="634" spans="1:26" ht="12.75" customHeight="1">
      <c r="A634" s="165"/>
      <c r="B634" s="165"/>
      <c r="C634" s="165"/>
      <c r="D634" s="165"/>
      <c r="E634" s="165"/>
      <c r="F634" s="165"/>
      <c r="G634" s="165"/>
      <c r="H634" s="165"/>
      <c r="I634" s="165"/>
      <c r="J634" s="165"/>
      <c r="K634" s="165"/>
      <c r="L634" s="165"/>
      <c r="M634" s="165"/>
      <c r="N634" s="165"/>
      <c r="O634" s="165"/>
      <c r="P634" s="165"/>
      <c r="Q634" s="165"/>
      <c r="R634" s="165"/>
      <c r="S634" s="165"/>
      <c r="T634" s="165"/>
      <c r="U634" s="165"/>
      <c r="V634" s="165"/>
      <c r="W634" s="165"/>
      <c r="X634" s="165"/>
      <c r="Y634" s="165"/>
      <c r="Z634" s="165"/>
    </row>
    <row r="635" spans="1:26" ht="12.75" customHeight="1">
      <c r="A635" s="165"/>
      <c r="B635" s="165"/>
      <c r="C635" s="165"/>
      <c r="D635" s="165"/>
      <c r="E635" s="165"/>
      <c r="F635" s="165"/>
      <c r="G635" s="165"/>
      <c r="H635" s="165"/>
      <c r="I635" s="165"/>
      <c r="J635" s="165"/>
      <c r="K635" s="165"/>
      <c r="L635" s="165"/>
      <c r="M635" s="165"/>
      <c r="N635" s="165"/>
      <c r="O635" s="165"/>
      <c r="P635" s="165"/>
      <c r="Q635" s="165"/>
      <c r="R635" s="165"/>
      <c r="S635" s="165"/>
      <c r="T635" s="165"/>
      <c r="U635" s="165"/>
      <c r="V635" s="165"/>
      <c r="W635" s="165"/>
      <c r="X635" s="165"/>
      <c r="Y635" s="165"/>
      <c r="Z635" s="165"/>
    </row>
    <row r="636" spans="1:26" ht="12.75" customHeight="1">
      <c r="A636" s="165"/>
      <c r="B636" s="165"/>
      <c r="C636" s="165"/>
      <c r="D636" s="165"/>
      <c r="E636" s="165"/>
      <c r="F636" s="165"/>
      <c r="G636" s="165"/>
      <c r="H636" s="165"/>
      <c r="I636" s="165"/>
      <c r="J636" s="165"/>
      <c r="K636" s="165"/>
      <c r="L636" s="165"/>
      <c r="M636" s="165"/>
      <c r="N636" s="165"/>
      <c r="O636" s="165"/>
      <c r="P636" s="165"/>
      <c r="Q636" s="165"/>
      <c r="R636" s="165"/>
      <c r="S636" s="165"/>
      <c r="T636" s="165"/>
      <c r="U636" s="165"/>
      <c r="V636" s="165"/>
      <c r="W636" s="165"/>
      <c r="X636" s="165"/>
      <c r="Y636" s="165"/>
      <c r="Z636" s="165"/>
    </row>
    <row r="637" spans="1:26" ht="12.75" customHeight="1">
      <c r="A637" s="165"/>
      <c r="B637" s="165"/>
      <c r="C637" s="165"/>
      <c r="D637" s="165"/>
      <c r="E637" s="165"/>
      <c r="F637" s="165"/>
      <c r="G637" s="165"/>
      <c r="H637" s="165"/>
      <c r="I637" s="165"/>
      <c r="J637" s="165"/>
      <c r="K637" s="165"/>
      <c r="L637" s="165"/>
      <c r="M637" s="165"/>
      <c r="N637" s="165"/>
      <c r="O637" s="165"/>
      <c r="P637" s="165"/>
      <c r="Q637" s="165"/>
      <c r="R637" s="165"/>
      <c r="S637" s="165"/>
      <c r="T637" s="165"/>
      <c r="U637" s="165"/>
      <c r="V637" s="165"/>
      <c r="W637" s="165"/>
      <c r="X637" s="165"/>
      <c r="Y637" s="165"/>
      <c r="Z637" s="165"/>
    </row>
    <row r="638" spans="1:26" ht="12.75" customHeight="1">
      <c r="A638" s="165"/>
      <c r="B638" s="165"/>
      <c r="C638" s="165"/>
      <c r="D638" s="165"/>
      <c r="E638" s="165"/>
      <c r="F638" s="165"/>
      <c r="G638" s="165"/>
      <c r="H638" s="165"/>
      <c r="I638" s="165"/>
      <c r="J638" s="165"/>
      <c r="K638" s="165"/>
      <c r="L638" s="165"/>
      <c r="M638" s="165"/>
      <c r="N638" s="165"/>
      <c r="O638" s="165"/>
      <c r="P638" s="165"/>
      <c r="Q638" s="165"/>
      <c r="R638" s="165"/>
      <c r="S638" s="165"/>
      <c r="T638" s="165"/>
      <c r="U638" s="165"/>
      <c r="V638" s="165"/>
      <c r="W638" s="165"/>
      <c r="X638" s="165"/>
      <c r="Y638" s="165"/>
      <c r="Z638" s="165"/>
    </row>
    <row r="639" spans="1:26" ht="12.75" customHeight="1">
      <c r="A639" s="165"/>
      <c r="B639" s="165"/>
      <c r="C639" s="165"/>
      <c r="D639" s="165"/>
      <c r="E639" s="165"/>
      <c r="F639" s="165"/>
      <c r="G639" s="165"/>
      <c r="H639" s="165"/>
      <c r="I639" s="165"/>
      <c r="J639" s="165"/>
      <c r="K639" s="165"/>
      <c r="L639" s="165"/>
      <c r="M639" s="165"/>
      <c r="N639" s="165"/>
      <c r="O639" s="165"/>
      <c r="P639" s="165"/>
      <c r="Q639" s="165"/>
      <c r="R639" s="165"/>
      <c r="S639" s="165"/>
      <c r="T639" s="165"/>
      <c r="U639" s="165"/>
      <c r="V639" s="165"/>
      <c r="W639" s="165"/>
      <c r="X639" s="165"/>
      <c r="Y639" s="165"/>
      <c r="Z639" s="165"/>
    </row>
    <row r="640" spans="1:26" ht="12.75" customHeight="1">
      <c r="A640" s="165"/>
      <c r="B640" s="165"/>
      <c r="C640" s="165"/>
      <c r="D640" s="165"/>
      <c r="E640" s="165"/>
      <c r="F640" s="165"/>
      <c r="G640" s="165"/>
      <c r="H640" s="165"/>
      <c r="I640" s="165"/>
      <c r="J640" s="165"/>
      <c r="K640" s="165"/>
      <c r="L640" s="165"/>
      <c r="M640" s="165"/>
      <c r="N640" s="165"/>
      <c r="O640" s="165"/>
      <c r="P640" s="165"/>
      <c r="Q640" s="165"/>
      <c r="R640" s="165"/>
      <c r="S640" s="165"/>
      <c r="T640" s="165"/>
      <c r="U640" s="165"/>
      <c r="V640" s="165"/>
      <c r="W640" s="165"/>
      <c r="X640" s="165"/>
      <c r="Y640" s="165"/>
      <c r="Z640" s="165"/>
    </row>
    <row r="641" spans="1:26" ht="12.75" customHeight="1">
      <c r="A641" s="165"/>
      <c r="B641" s="165"/>
      <c r="C641" s="165"/>
      <c r="D641" s="165"/>
      <c r="E641" s="165"/>
      <c r="F641" s="165"/>
      <c r="G641" s="165"/>
      <c r="H641" s="165"/>
      <c r="I641" s="165"/>
      <c r="J641" s="165"/>
      <c r="K641" s="165"/>
      <c r="L641" s="165"/>
      <c r="M641" s="165"/>
      <c r="N641" s="165"/>
      <c r="O641" s="165"/>
      <c r="P641" s="165"/>
      <c r="Q641" s="165"/>
      <c r="R641" s="165"/>
      <c r="S641" s="165"/>
      <c r="T641" s="165"/>
      <c r="U641" s="165"/>
      <c r="V641" s="165"/>
      <c r="W641" s="165"/>
      <c r="X641" s="165"/>
      <c r="Y641" s="165"/>
      <c r="Z641" s="165"/>
    </row>
    <row r="642" spans="1:26" ht="12.75" customHeight="1">
      <c r="A642" s="165"/>
      <c r="B642" s="165"/>
      <c r="C642" s="165"/>
      <c r="D642" s="165"/>
      <c r="E642" s="165"/>
      <c r="F642" s="165"/>
      <c r="G642" s="165"/>
      <c r="H642" s="165"/>
      <c r="I642" s="165"/>
      <c r="J642" s="165"/>
      <c r="K642" s="165"/>
      <c r="L642" s="165"/>
      <c r="M642" s="165"/>
      <c r="N642" s="165"/>
      <c r="O642" s="165"/>
      <c r="P642" s="165"/>
      <c r="Q642" s="165"/>
      <c r="R642" s="165"/>
      <c r="S642" s="165"/>
      <c r="T642" s="165"/>
      <c r="U642" s="165"/>
      <c r="V642" s="165"/>
      <c r="W642" s="165"/>
      <c r="X642" s="165"/>
      <c r="Y642" s="165"/>
      <c r="Z642" s="165"/>
    </row>
    <row r="643" spans="1:26" ht="12.75" customHeight="1">
      <c r="A643" s="165"/>
      <c r="B643" s="165"/>
      <c r="C643" s="165"/>
      <c r="D643" s="165"/>
      <c r="E643" s="165"/>
      <c r="F643" s="165"/>
      <c r="G643" s="165"/>
      <c r="H643" s="165"/>
      <c r="I643" s="165"/>
      <c r="J643" s="165"/>
      <c r="K643" s="165"/>
      <c r="L643" s="165"/>
      <c r="M643" s="165"/>
      <c r="N643" s="165"/>
      <c r="O643" s="165"/>
      <c r="P643" s="165"/>
      <c r="Q643" s="165"/>
      <c r="R643" s="165"/>
      <c r="S643" s="165"/>
      <c r="T643" s="165"/>
      <c r="U643" s="165"/>
      <c r="V643" s="165"/>
      <c r="W643" s="165"/>
      <c r="X643" s="165"/>
      <c r="Y643" s="165"/>
      <c r="Z643" s="165"/>
    </row>
    <row r="644" spans="1:26" ht="12.75" customHeight="1">
      <c r="A644" s="165"/>
      <c r="B644" s="165"/>
      <c r="C644" s="165"/>
      <c r="D644" s="165"/>
      <c r="E644" s="165"/>
      <c r="F644" s="165"/>
      <c r="G644" s="165"/>
      <c r="H644" s="165"/>
      <c r="I644" s="165"/>
      <c r="J644" s="165"/>
      <c r="K644" s="165"/>
      <c r="L644" s="165"/>
      <c r="M644" s="165"/>
      <c r="N644" s="165"/>
      <c r="O644" s="165"/>
      <c r="P644" s="165"/>
      <c r="Q644" s="165"/>
      <c r="R644" s="165"/>
      <c r="S644" s="165"/>
      <c r="T644" s="165"/>
      <c r="U644" s="165"/>
      <c r="V644" s="165"/>
      <c r="W644" s="165"/>
      <c r="X644" s="165"/>
      <c r="Y644" s="165"/>
      <c r="Z644" s="165"/>
    </row>
    <row r="645" spans="1:26" ht="12.75" customHeight="1">
      <c r="A645" s="165"/>
      <c r="B645" s="165"/>
      <c r="C645" s="165"/>
      <c r="D645" s="165"/>
      <c r="E645" s="165"/>
      <c r="F645" s="165"/>
      <c r="G645" s="165"/>
      <c r="H645" s="165"/>
      <c r="I645" s="165"/>
      <c r="J645" s="165"/>
      <c r="K645" s="165"/>
      <c r="L645" s="165"/>
      <c r="M645" s="165"/>
      <c r="N645" s="165"/>
      <c r="O645" s="165"/>
      <c r="P645" s="165"/>
      <c r="Q645" s="165"/>
      <c r="R645" s="165"/>
      <c r="S645" s="165"/>
      <c r="T645" s="165"/>
      <c r="U645" s="165"/>
      <c r="V645" s="165"/>
      <c r="W645" s="165"/>
      <c r="X645" s="165"/>
      <c r="Y645" s="165"/>
      <c r="Z645" s="165"/>
    </row>
    <row r="646" spans="1:26" ht="12.75" customHeight="1">
      <c r="A646" s="165"/>
      <c r="B646" s="165"/>
      <c r="C646" s="165"/>
      <c r="D646" s="165"/>
      <c r="E646" s="165"/>
      <c r="F646" s="165"/>
      <c r="G646" s="165"/>
      <c r="H646" s="165"/>
      <c r="I646" s="165"/>
      <c r="J646" s="165"/>
      <c r="K646" s="165"/>
      <c r="L646" s="165"/>
      <c r="M646" s="165"/>
      <c r="N646" s="165"/>
      <c r="O646" s="165"/>
      <c r="P646" s="165"/>
      <c r="Q646" s="165"/>
      <c r="R646" s="165"/>
      <c r="S646" s="165"/>
      <c r="T646" s="165"/>
      <c r="U646" s="165"/>
      <c r="V646" s="165"/>
      <c r="W646" s="165"/>
      <c r="X646" s="165"/>
      <c r="Y646" s="165"/>
      <c r="Z646" s="165"/>
    </row>
    <row r="647" spans="1:26" ht="12.75" customHeight="1">
      <c r="A647" s="165"/>
      <c r="B647" s="165"/>
      <c r="C647" s="165"/>
      <c r="D647" s="165"/>
      <c r="E647" s="165"/>
      <c r="F647" s="165"/>
      <c r="G647" s="165"/>
      <c r="H647" s="165"/>
      <c r="I647" s="165"/>
      <c r="J647" s="165"/>
      <c r="K647" s="165"/>
      <c r="L647" s="165"/>
      <c r="M647" s="165"/>
      <c r="N647" s="165"/>
      <c r="O647" s="165"/>
      <c r="P647" s="165"/>
      <c r="Q647" s="165"/>
      <c r="R647" s="165"/>
      <c r="S647" s="165"/>
      <c r="T647" s="165"/>
      <c r="U647" s="165"/>
      <c r="V647" s="165"/>
      <c r="W647" s="165"/>
      <c r="X647" s="165"/>
      <c r="Y647" s="165"/>
      <c r="Z647" s="165"/>
    </row>
    <row r="648" spans="1:26" ht="12.75" customHeight="1">
      <c r="A648" s="165"/>
      <c r="B648" s="165"/>
      <c r="C648" s="165"/>
      <c r="D648" s="165"/>
      <c r="E648" s="165"/>
      <c r="F648" s="165"/>
      <c r="G648" s="165"/>
      <c r="H648" s="165"/>
      <c r="I648" s="165"/>
      <c r="J648" s="165"/>
      <c r="K648" s="165"/>
      <c r="L648" s="165"/>
      <c r="M648" s="165"/>
      <c r="N648" s="165"/>
      <c r="O648" s="165"/>
      <c r="P648" s="165"/>
      <c r="Q648" s="165"/>
      <c r="R648" s="165"/>
      <c r="S648" s="165"/>
      <c r="T648" s="165"/>
      <c r="U648" s="165"/>
      <c r="V648" s="165"/>
      <c r="W648" s="165"/>
      <c r="X648" s="165"/>
      <c r="Y648" s="165"/>
      <c r="Z648" s="165"/>
    </row>
    <row r="649" spans="1:26" ht="12.75" customHeight="1">
      <c r="A649" s="165"/>
      <c r="B649" s="165"/>
      <c r="C649" s="165"/>
      <c r="D649" s="165"/>
      <c r="E649" s="165"/>
      <c r="F649" s="165"/>
      <c r="G649" s="165"/>
      <c r="H649" s="165"/>
      <c r="I649" s="165"/>
      <c r="J649" s="165"/>
      <c r="K649" s="165"/>
      <c r="L649" s="165"/>
      <c r="M649" s="165"/>
      <c r="N649" s="165"/>
      <c r="O649" s="165"/>
      <c r="P649" s="165"/>
      <c r="Q649" s="165"/>
      <c r="R649" s="165"/>
      <c r="S649" s="165"/>
      <c r="T649" s="165"/>
      <c r="U649" s="165"/>
      <c r="V649" s="165"/>
      <c r="W649" s="165"/>
      <c r="X649" s="165"/>
      <c r="Y649" s="165"/>
      <c r="Z649" s="165"/>
    </row>
    <row r="650" spans="1:26" ht="12.75" customHeight="1">
      <c r="A650" s="165"/>
      <c r="B650" s="165"/>
      <c r="C650" s="165"/>
      <c r="D650" s="165"/>
      <c r="E650" s="165"/>
      <c r="F650" s="165"/>
      <c r="G650" s="165"/>
      <c r="H650" s="165"/>
      <c r="I650" s="165"/>
      <c r="J650" s="165"/>
      <c r="K650" s="165"/>
      <c r="L650" s="165"/>
      <c r="M650" s="165"/>
      <c r="N650" s="165"/>
      <c r="O650" s="165"/>
      <c r="P650" s="165"/>
      <c r="Q650" s="165"/>
      <c r="R650" s="165"/>
      <c r="S650" s="165"/>
      <c r="T650" s="165"/>
      <c r="U650" s="165"/>
      <c r="V650" s="165"/>
      <c r="W650" s="165"/>
      <c r="X650" s="165"/>
      <c r="Y650" s="165"/>
      <c r="Z650" s="165"/>
    </row>
    <row r="651" spans="1:26" ht="12.75" customHeight="1">
      <c r="A651" s="165"/>
      <c r="B651" s="165"/>
      <c r="C651" s="165"/>
      <c r="D651" s="165"/>
      <c r="E651" s="165"/>
      <c r="F651" s="165"/>
      <c r="G651" s="165"/>
      <c r="H651" s="165"/>
      <c r="I651" s="165"/>
      <c r="J651" s="165"/>
      <c r="K651" s="165"/>
      <c r="L651" s="165"/>
      <c r="M651" s="165"/>
      <c r="N651" s="165"/>
      <c r="O651" s="165"/>
      <c r="P651" s="165"/>
      <c r="Q651" s="165"/>
      <c r="R651" s="165"/>
      <c r="S651" s="165"/>
      <c r="T651" s="165"/>
      <c r="U651" s="165"/>
      <c r="V651" s="165"/>
      <c r="W651" s="165"/>
      <c r="X651" s="165"/>
      <c r="Y651" s="165"/>
      <c r="Z651" s="165"/>
    </row>
    <row r="652" spans="1:26" ht="12.75" customHeight="1">
      <c r="A652" s="165"/>
      <c r="B652" s="165"/>
      <c r="C652" s="165"/>
      <c r="D652" s="165"/>
      <c r="E652" s="165"/>
      <c r="F652" s="165"/>
      <c r="G652" s="165"/>
      <c r="H652" s="165"/>
      <c r="I652" s="165"/>
      <c r="J652" s="165"/>
      <c r="K652" s="165"/>
      <c r="L652" s="165"/>
      <c r="M652" s="165"/>
      <c r="N652" s="165"/>
      <c r="O652" s="165"/>
      <c r="P652" s="165"/>
      <c r="Q652" s="165"/>
      <c r="R652" s="165"/>
      <c r="S652" s="165"/>
      <c r="T652" s="165"/>
      <c r="U652" s="165"/>
      <c r="V652" s="165"/>
      <c r="W652" s="165"/>
      <c r="X652" s="165"/>
      <c r="Y652" s="165"/>
      <c r="Z652" s="165"/>
    </row>
    <row r="653" spans="1:26" ht="12.75" customHeight="1">
      <c r="A653" s="165"/>
      <c r="B653" s="165"/>
      <c r="C653" s="165"/>
      <c r="D653" s="165"/>
      <c r="E653" s="165"/>
      <c r="F653" s="165"/>
      <c r="G653" s="165"/>
      <c r="H653" s="165"/>
      <c r="I653" s="165"/>
      <c r="J653" s="165"/>
      <c r="K653" s="165"/>
      <c r="L653" s="165"/>
      <c r="M653" s="165"/>
      <c r="N653" s="165"/>
      <c r="O653" s="165"/>
      <c r="P653" s="165"/>
      <c r="Q653" s="165"/>
      <c r="R653" s="165"/>
      <c r="S653" s="165"/>
      <c r="T653" s="165"/>
      <c r="U653" s="165"/>
      <c r="V653" s="165"/>
      <c r="W653" s="165"/>
      <c r="X653" s="165"/>
      <c r="Y653" s="165"/>
      <c r="Z653" s="165"/>
    </row>
    <row r="654" spans="1:26" ht="12.75" customHeight="1">
      <c r="A654" s="165"/>
      <c r="B654" s="165"/>
      <c r="C654" s="165"/>
      <c r="D654" s="165"/>
      <c r="E654" s="165"/>
      <c r="F654" s="165"/>
      <c r="G654" s="165"/>
      <c r="H654" s="165"/>
      <c r="I654" s="165"/>
      <c r="J654" s="165"/>
      <c r="K654" s="165"/>
      <c r="L654" s="165"/>
      <c r="M654" s="165"/>
      <c r="N654" s="165"/>
      <c r="O654" s="165"/>
      <c r="P654" s="165"/>
      <c r="Q654" s="165"/>
      <c r="R654" s="165"/>
      <c r="S654" s="165"/>
      <c r="T654" s="165"/>
      <c r="U654" s="165"/>
      <c r="V654" s="165"/>
      <c r="W654" s="165"/>
      <c r="X654" s="165"/>
      <c r="Y654" s="165"/>
      <c r="Z654" s="165"/>
    </row>
    <row r="655" spans="1:26" ht="12.75" customHeight="1">
      <c r="A655" s="165"/>
      <c r="B655" s="165"/>
      <c r="C655" s="165"/>
      <c r="D655" s="165"/>
      <c r="E655" s="165"/>
      <c r="F655" s="165"/>
      <c r="G655" s="165"/>
      <c r="H655" s="165"/>
      <c r="I655" s="165"/>
      <c r="J655" s="165"/>
      <c r="K655" s="165"/>
      <c r="L655" s="165"/>
      <c r="M655" s="165"/>
      <c r="N655" s="165"/>
      <c r="O655" s="165"/>
      <c r="P655" s="165"/>
      <c r="Q655" s="165"/>
      <c r="R655" s="165"/>
      <c r="S655" s="165"/>
      <c r="T655" s="165"/>
      <c r="U655" s="165"/>
      <c r="V655" s="165"/>
      <c r="W655" s="165"/>
      <c r="X655" s="165"/>
      <c r="Y655" s="165"/>
      <c r="Z655" s="165"/>
    </row>
    <row r="656" spans="1:26" ht="12.75" customHeight="1">
      <c r="A656" s="165"/>
      <c r="B656" s="165"/>
      <c r="C656" s="165"/>
      <c r="D656" s="165"/>
      <c r="E656" s="165"/>
      <c r="F656" s="165"/>
      <c r="G656" s="165"/>
      <c r="H656" s="165"/>
      <c r="I656" s="165"/>
      <c r="J656" s="165"/>
      <c r="K656" s="165"/>
      <c r="L656" s="165"/>
      <c r="M656" s="165"/>
      <c r="N656" s="165"/>
      <c r="O656" s="165"/>
      <c r="P656" s="165"/>
      <c r="Q656" s="165"/>
      <c r="R656" s="165"/>
      <c r="S656" s="165"/>
      <c r="T656" s="165"/>
      <c r="U656" s="165"/>
      <c r="V656" s="165"/>
      <c r="W656" s="165"/>
      <c r="X656" s="165"/>
      <c r="Y656" s="165"/>
      <c r="Z656" s="165"/>
    </row>
    <row r="657" spans="1:26" ht="12.75" customHeight="1">
      <c r="A657" s="165"/>
      <c r="B657" s="165"/>
      <c r="C657" s="165"/>
      <c r="D657" s="165"/>
      <c r="E657" s="165"/>
      <c r="F657" s="165"/>
      <c r="G657" s="165"/>
      <c r="H657" s="165"/>
      <c r="I657" s="165"/>
      <c r="J657" s="165"/>
      <c r="K657" s="165"/>
      <c r="L657" s="165"/>
      <c r="M657" s="165"/>
      <c r="N657" s="165"/>
      <c r="O657" s="165"/>
      <c r="P657" s="165"/>
      <c r="Q657" s="165"/>
      <c r="R657" s="165"/>
      <c r="S657" s="165"/>
      <c r="T657" s="165"/>
      <c r="U657" s="165"/>
      <c r="V657" s="165"/>
      <c r="W657" s="165"/>
      <c r="X657" s="165"/>
      <c r="Y657" s="165"/>
      <c r="Z657" s="165"/>
    </row>
    <row r="658" spans="1:26" ht="12.75" customHeight="1">
      <c r="A658" s="165"/>
      <c r="B658" s="165"/>
      <c r="C658" s="165"/>
      <c r="D658" s="165"/>
      <c r="E658" s="165"/>
      <c r="F658" s="165"/>
      <c r="G658" s="165"/>
      <c r="H658" s="165"/>
      <c r="I658" s="165"/>
      <c r="J658" s="165"/>
      <c r="K658" s="165"/>
      <c r="L658" s="165"/>
      <c r="M658" s="165"/>
      <c r="N658" s="165"/>
      <c r="O658" s="165"/>
      <c r="P658" s="165"/>
      <c r="Q658" s="165"/>
      <c r="R658" s="165"/>
      <c r="S658" s="165"/>
      <c r="T658" s="165"/>
      <c r="U658" s="165"/>
      <c r="V658" s="165"/>
      <c r="W658" s="165"/>
      <c r="X658" s="165"/>
      <c r="Y658" s="165"/>
      <c r="Z658" s="165"/>
    </row>
    <row r="659" spans="1:26" ht="12.75" customHeight="1">
      <c r="A659" s="165"/>
      <c r="B659" s="165"/>
      <c r="C659" s="165"/>
      <c r="D659" s="165"/>
      <c r="E659" s="165"/>
      <c r="F659" s="165"/>
      <c r="G659" s="165"/>
      <c r="H659" s="165"/>
      <c r="I659" s="165"/>
      <c r="J659" s="165"/>
      <c r="K659" s="165"/>
      <c r="L659" s="165"/>
      <c r="M659" s="165"/>
      <c r="N659" s="165"/>
      <c r="O659" s="165"/>
      <c r="P659" s="165"/>
      <c r="Q659" s="165"/>
      <c r="R659" s="165"/>
      <c r="S659" s="165"/>
      <c r="T659" s="165"/>
      <c r="U659" s="165"/>
      <c r="V659" s="165"/>
      <c r="W659" s="165"/>
      <c r="X659" s="165"/>
      <c r="Y659" s="165"/>
      <c r="Z659" s="165"/>
    </row>
    <row r="660" spans="1:26" ht="12.75" customHeight="1">
      <c r="A660" s="165"/>
      <c r="B660" s="165"/>
      <c r="C660" s="165"/>
      <c r="D660" s="165"/>
      <c r="E660" s="165"/>
      <c r="F660" s="165"/>
      <c r="G660" s="165"/>
      <c r="H660" s="165"/>
      <c r="I660" s="165"/>
      <c r="J660" s="165"/>
      <c r="K660" s="165"/>
      <c r="L660" s="165"/>
      <c r="M660" s="165"/>
      <c r="N660" s="165"/>
      <c r="O660" s="165"/>
      <c r="P660" s="165"/>
      <c r="Q660" s="165"/>
      <c r="R660" s="165"/>
      <c r="S660" s="165"/>
      <c r="T660" s="165"/>
      <c r="U660" s="165"/>
      <c r="V660" s="165"/>
      <c r="W660" s="165"/>
      <c r="X660" s="165"/>
      <c r="Y660" s="165"/>
      <c r="Z660" s="165"/>
    </row>
    <row r="661" spans="1:26" ht="12.75" customHeight="1">
      <c r="A661" s="165"/>
      <c r="B661" s="165"/>
      <c r="C661" s="165"/>
      <c r="D661" s="165"/>
      <c r="E661" s="165"/>
      <c r="F661" s="165"/>
      <c r="G661" s="165"/>
      <c r="H661" s="165"/>
      <c r="I661" s="165"/>
      <c r="J661" s="165"/>
      <c r="K661" s="165"/>
      <c r="L661" s="165"/>
      <c r="M661" s="165"/>
      <c r="N661" s="165"/>
      <c r="O661" s="165"/>
      <c r="P661" s="165"/>
      <c r="Q661" s="165"/>
      <c r="R661" s="165"/>
      <c r="S661" s="165"/>
      <c r="T661" s="165"/>
      <c r="U661" s="165"/>
      <c r="V661" s="165"/>
      <c r="W661" s="165"/>
      <c r="X661" s="165"/>
      <c r="Y661" s="165"/>
      <c r="Z661" s="165"/>
    </row>
    <row r="662" spans="1:26" ht="12.75" customHeight="1">
      <c r="A662" s="165"/>
      <c r="B662" s="165"/>
      <c r="C662" s="165"/>
      <c r="D662" s="165"/>
      <c r="E662" s="165"/>
      <c r="F662" s="165"/>
      <c r="G662" s="165"/>
      <c r="H662" s="165"/>
      <c r="I662" s="165"/>
      <c r="J662" s="165"/>
      <c r="K662" s="165"/>
      <c r="L662" s="165"/>
      <c r="M662" s="165"/>
      <c r="N662" s="165"/>
      <c r="O662" s="165"/>
      <c r="P662" s="165"/>
      <c r="Q662" s="165"/>
      <c r="R662" s="165"/>
      <c r="S662" s="165"/>
      <c r="T662" s="165"/>
      <c r="U662" s="165"/>
      <c r="V662" s="165"/>
      <c r="W662" s="165"/>
      <c r="X662" s="165"/>
      <c r="Y662" s="165"/>
      <c r="Z662" s="165"/>
    </row>
    <row r="663" spans="1:26" ht="12.75" customHeight="1">
      <c r="A663" s="165"/>
      <c r="B663" s="165"/>
      <c r="C663" s="165"/>
      <c r="D663" s="165"/>
      <c r="E663" s="165"/>
      <c r="F663" s="165"/>
      <c r="G663" s="165"/>
      <c r="H663" s="165"/>
      <c r="I663" s="165"/>
      <c r="J663" s="165"/>
      <c r="K663" s="165"/>
      <c r="L663" s="165"/>
      <c r="M663" s="165"/>
      <c r="N663" s="165"/>
      <c r="O663" s="165"/>
      <c r="P663" s="165"/>
      <c r="Q663" s="165"/>
      <c r="R663" s="165"/>
      <c r="S663" s="165"/>
      <c r="T663" s="165"/>
      <c r="U663" s="165"/>
      <c r="V663" s="165"/>
      <c r="W663" s="165"/>
      <c r="X663" s="165"/>
      <c r="Y663" s="165"/>
      <c r="Z663" s="165"/>
    </row>
    <row r="664" spans="1:26" ht="12.75" customHeight="1">
      <c r="A664" s="165"/>
      <c r="B664" s="165"/>
      <c r="C664" s="165"/>
      <c r="D664" s="165"/>
      <c r="E664" s="165"/>
      <c r="F664" s="165"/>
      <c r="G664" s="165"/>
      <c r="H664" s="165"/>
      <c r="I664" s="165"/>
      <c r="J664" s="165"/>
      <c r="K664" s="165"/>
      <c r="L664" s="165"/>
      <c r="M664" s="165"/>
      <c r="N664" s="165"/>
      <c r="O664" s="165"/>
      <c r="P664" s="165"/>
      <c r="Q664" s="165"/>
      <c r="R664" s="165"/>
      <c r="S664" s="165"/>
      <c r="T664" s="165"/>
      <c r="U664" s="165"/>
      <c r="V664" s="165"/>
      <c r="W664" s="165"/>
      <c r="X664" s="165"/>
      <c r="Y664" s="165"/>
      <c r="Z664" s="165"/>
    </row>
    <row r="665" spans="1:26" ht="12.75" customHeight="1">
      <c r="A665" s="165"/>
      <c r="B665" s="165"/>
      <c r="C665" s="165"/>
      <c r="D665" s="165"/>
      <c r="E665" s="165"/>
      <c r="F665" s="165"/>
      <c r="G665" s="165"/>
      <c r="H665" s="165"/>
      <c r="I665" s="165"/>
      <c r="J665" s="165"/>
      <c r="K665" s="165"/>
      <c r="L665" s="165"/>
      <c r="M665" s="165"/>
      <c r="N665" s="165"/>
      <c r="O665" s="165"/>
      <c r="P665" s="165"/>
      <c r="Q665" s="165"/>
      <c r="R665" s="165"/>
      <c r="S665" s="165"/>
      <c r="T665" s="165"/>
      <c r="U665" s="165"/>
      <c r="V665" s="165"/>
      <c r="W665" s="165"/>
      <c r="X665" s="165"/>
      <c r="Y665" s="165"/>
      <c r="Z665" s="165"/>
    </row>
    <row r="666" spans="1:26" ht="12.75" customHeight="1">
      <c r="A666" s="165"/>
      <c r="B666" s="165"/>
      <c r="C666" s="165"/>
      <c r="D666" s="165"/>
      <c r="E666" s="165"/>
      <c r="F666" s="165"/>
      <c r="G666" s="165"/>
      <c r="H666" s="165"/>
      <c r="I666" s="165"/>
      <c r="J666" s="165"/>
      <c r="K666" s="165"/>
      <c r="L666" s="165"/>
      <c r="M666" s="165"/>
      <c r="N666" s="165"/>
      <c r="O666" s="165"/>
      <c r="P666" s="165"/>
      <c r="Q666" s="165"/>
      <c r="R666" s="165"/>
      <c r="S666" s="165"/>
      <c r="T666" s="165"/>
      <c r="U666" s="165"/>
      <c r="V666" s="165"/>
      <c r="W666" s="165"/>
      <c r="X666" s="165"/>
      <c r="Y666" s="165"/>
      <c r="Z666" s="165"/>
    </row>
    <row r="667" spans="1:26" ht="12.75" customHeight="1">
      <c r="A667" s="165"/>
      <c r="B667" s="165"/>
      <c r="C667" s="165"/>
      <c r="D667" s="165"/>
      <c r="E667" s="165"/>
      <c r="F667" s="165"/>
      <c r="G667" s="165"/>
      <c r="H667" s="165"/>
      <c r="I667" s="165"/>
      <c r="J667" s="165"/>
      <c r="K667" s="165"/>
      <c r="L667" s="165"/>
      <c r="M667" s="165"/>
      <c r="N667" s="165"/>
      <c r="O667" s="165"/>
      <c r="P667" s="165"/>
      <c r="Q667" s="165"/>
      <c r="R667" s="165"/>
      <c r="S667" s="165"/>
      <c r="T667" s="165"/>
      <c r="U667" s="165"/>
      <c r="V667" s="165"/>
      <c r="W667" s="165"/>
      <c r="X667" s="165"/>
      <c r="Y667" s="165"/>
      <c r="Z667" s="165"/>
    </row>
    <row r="668" spans="1:26" ht="12.75" customHeight="1">
      <c r="A668" s="165"/>
      <c r="B668" s="165"/>
      <c r="C668" s="165"/>
      <c r="D668" s="165"/>
      <c r="E668" s="165"/>
      <c r="F668" s="165"/>
      <c r="G668" s="165"/>
      <c r="H668" s="165"/>
      <c r="I668" s="165"/>
      <c r="J668" s="165"/>
      <c r="K668" s="165"/>
      <c r="L668" s="165"/>
      <c r="M668" s="165"/>
      <c r="N668" s="165"/>
      <c r="O668" s="165"/>
      <c r="P668" s="165"/>
      <c r="Q668" s="165"/>
      <c r="R668" s="165"/>
      <c r="S668" s="165"/>
      <c r="T668" s="165"/>
      <c r="U668" s="165"/>
      <c r="V668" s="165"/>
      <c r="W668" s="165"/>
      <c r="X668" s="165"/>
      <c r="Y668" s="165"/>
      <c r="Z668" s="165"/>
    </row>
    <row r="669" spans="1:26" ht="12.75" customHeight="1">
      <c r="A669" s="165"/>
      <c r="B669" s="165"/>
      <c r="C669" s="165"/>
      <c r="D669" s="165"/>
      <c r="E669" s="165"/>
      <c r="F669" s="165"/>
      <c r="G669" s="165"/>
      <c r="H669" s="165"/>
      <c r="I669" s="165"/>
      <c r="J669" s="165"/>
      <c r="K669" s="165"/>
      <c r="L669" s="165"/>
      <c r="M669" s="165"/>
      <c r="N669" s="165"/>
      <c r="O669" s="165"/>
      <c r="P669" s="165"/>
      <c r="Q669" s="165"/>
      <c r="R669" s="165"/>
      <c r="S669" s="165"/>
      <c r="T669" s="165"/>
      <c r="U669" s="165"/>
      <c r="V669" s="165"/>
      <c r="W669" s="165"/>
      <c r="X669" s="165"/>
      <c r="Y669" s="165"/>
      <c r="Z669" s="165"/>
    </row>
    <row r="670" spans="1:26" ht="12.75" customHeight="1">
      <c r="A670" s="165"/>
      <c r="B670" s="165"/>
      <c r="C670" s="165"/>
      <c r="D670" s="165"/>
      <c r="E670" s="165"/>
      <c r="F670" s="165"/>
      <c r="G670" s="165"/>
      <c r="H670" s="165"/>
      <c r="I670" s="165"/>
      <c r="J670" s="165"/>
      <c r="K670" s="165"/>
      <c r="L670" s="165"/>
      <c r="M670" s="165"/>
      <c r="N670" s="165"/>
      <c r="O670" s="165"/>
      <c r="P670" s="165"/>
      <c r="Q670" s="165"/>
      <c r="R670" s="165"/>
      <c r="S670" s="165"/>
      <c r="T670" s="165"/>
      <c r="U670" s="165"/>
      <c r="V670" s="165"/>
      <c r="W670" s="165"/>
      <c r="X670" s="165"/>
      <c r="Y670" s="165"/>
      <c r="Z670" s="165"/>
    </row>
    <row r="671" spans="1:26" ht="12.75" customHeight="1">
      <c r="A671" s="165"/>
      <c r="B671" s="165"/>
      <c r="C671" s="165"/>
      <c r="D671" s="165"/>
      <c r="E671" s="165"/>
      <c r="F671" s="165"/>
      <c r="G671" s="165"/>
      <c r="H671" s="165"/>
      <c r="I671" s="165"/>
      <c r="J671" s="165"/>
      <c r="K671" s="165"/>
      <c r="L671" s="165"/>
      <c r="M671" s="165"/>
      <c r="N671" s="165"/>
      <c r="O671" s="165"/>
      <c r="P671" s="165"/>
      <c r="Q671" s="165"/>
      <c r="R671" s="165"/>
      <c r="S671" s="165"/>
      <c r="T671" s="165"/>
      <c r="U671" s="165"/>
      <c r="V671" s="165"/>
      <c r="W671" s="165"/>
      <c r="X671" s="165"/>
      <c r="Y671" s="165"/>
      <c r="Z671" s="165"/>
    </row>
    <row r="672" spans="1:26" ht="12.75" customHeight="1">
      <c r="A672" s="165"/>
      <c r="B672" s="165"/>
      <c r="C672" s="165"/>
      <c r="D672" s="165"/>
      <c r="E672" s="165"/>
      <c r="F672" s="165"/>
      <c r="G672" s="165"/>
      <c r="H672" s="165"/>
      <c r="I672" s="165"/>
      <c r="J672" s="165"/>
      <c r="K672" s="165"/>
      <c r="L672" s="165"/>
      <c r="M672" s="165"/>
      <c r="N672" s="165"/>
      <c r="O672" s="165"/>
      <c r="P672" s="165"/>
      <c r="Q672" s="165"/>
      <c r="R672" s="165"/>
      <c r="S672" s="165"/>
      <c r="T672" s="165"/>
      <c r="U672" s="165"/>
      <c r="V672" s="165"/>
      <c r="W672" s="165"/>
      <c r="X672" s="165"/>
      <c r="Y672" s="165"/>
      <c r="Z672" s="165"/>
    </row>
    <row r="673" spans="1:26" ht="12.75" customHeight="1">
      <c r="A673" s="165"/>
      <c r="B673" s="165"/>
      <c r="C673" s="165"/>
      <c r="D673" s="165"/>
      <c r="E673" s="165"/>
      <c r="F673" s="165"/>
      <c r="G673" s="165"/>
      <c r="H673" s="165"/>
      <c r="I673" s="165"/>
      <c r="J673" s="165"/>
      <c r="K673" s="165"/>
      <c r="L673" s="165"/>
      <c r="M673" s="165"/>
      <c r="N673" s="165"/>
      <c r="O673" s="165"/>
      <c r="P673" s="165"/>
      <c r="Q673" s="165"/>
      <c r="R673" s="165"/>
      <c r="S673" s="165"/>
      <c r="T673" s="165"/>
      <c r="U673" s="165"/>
      <c r="V673" s="165"/>
      <c r="W673" s="165"/>
      <c r="X673" s="165"/>
      <c r="Y673" s="165"/>
      <c r="Z673" s="165"/>
    </row>
    <row r="674" spans="1:26" ht="12.75" customHeight="1">
      <c r="A674" s="165"/>
      <c r="B674" s="165"/>
      <c r="C674" s="165"/>
      <c r="D674" s="165"/>
      <c r="E674" s="165"/>
      <c r="F674" s="165"/>
      <c r="G674" s="165"/>
      <c r="H674" s="165"/>
      <c r="I674" s="165"/>
      <c r="J674" s="165"/>
      <c r="K674" s="165"/>
      <c r="L674" s="165"/>
      <c r="M674" s="165"/>
      <c r="N674" s="165"/>
      <c r="O674" s="165"/>
      <c r="P674" s="165"/>
      <c r="Q674" s="165"/>
      <c r="R674" s="165"/>
      <c r="S674" s="165"/>
      <c r="T674" s="165"/>
      <c r="U674" s="165"/>
      <c r="V674" s="165"/>
      <c r="W674" s="165"/>
      <c r="X674" s="165"/>
      <c r="Y674" s="165"/>
      <c r="Z674" s="165"/>
    </row>
    <row r="675" spans="1:26" ht="12.75" customHeight="1">
      <c r="A675" s="165"/>
      <c r="B675" s="165"/>
      <c r="C675" s="165"/>
      <c r="D675" s="165"/>
      <c r="E675" s="165"/>
      <c r="F675" s="165"/>
      <c r="G675" s="165"/>
      <c r="H675" s="165"/>
      <c r="I675" s="165"/>
      <c r="J675" s="165"/>
      <c r="K675" s="165"/>
      <c r="L675" s="165"/>
      <c r="M675" s="165"/>
      <c r="N675" s="165"/>
      <c r="O675" s="165"/>
      <c r="P675" s="165"/>
      <c r="Q675" s="165"/>
      <c r="R675" s="165"/>
      <c r="S675" s="165"/>
      <c r="T675" s="165"/>
      <c r="U675" s="165"/>
      <c r="V675" s="165"/>
      <c r="W675" s="165"/>
      <c r="X675" s="165"/>
      <c r="Y675" s="165"/>
      <c r="Z675" s="165"/>
    </row>
    <row r="676" spans="1:26" ht="12.75" customHeight="1">
      <c r="A676" s="165"/>
      <c r="B676" s="165"/>
      <c r="C676" s="165"/>
      <c r="D676" s="165"/>
      <c r="E676" s="165"/>
      <c r="F676" s="165"/>
      <c r="G676" s="165"/>
      <c r="H676" s="165"/>
      <c r="I676" s="165"/>
      <c r="J676" s="165"/>
      <c r="K676" s="165"/>
      <c r="L676" s="165"/>
      <c r="M676" s="165"/>
      <c r="N676" s="165"/>
      <c r="O676" s="165"/>
      <c r="P676" s="165"/>
      <c r="Q676" s="165"/>
      <c r="R676" s="165"/>
      <c r="S676" s="165"/>
      <c r="T676" s="165"/>
      <c r="U676" s="165"/>
      <c r="V676" s="165"/>
      <c r="W676" s="165"/>
      <c r="X676" s="165"/>
      <c r="Y676" s="165"/>
      <c r="Z676" s="165"/>
    </row>
    <row r="677" spans="1:26" ht="12.75" customHeight="1">
      <c r="A677" s="165"/>
      <c r="B677" s="165"/>
      <c r="C677" s="165"/>
      <c r="D677" s="165"/>
      <c r="E677" s="165"/>
      <c r="F677" s="165"/>
      <c r="G677" s="165"/>
      <c r="H677" s="165"/>
      <c r="I677" s="165"/>
      <c r="J677" s="165"/>
      <c r="K677" s="165"/>
      <c r="L677" s="165"/>
      <c r="M677" s="165"/>
      <c r="N677" s="165"/>
      <c r="O677" s="165"/>
      <c r="P677" s="165"/>
      <c r="Q677" s="165"/>
      <c r="R677" s="165"/>
      <c r="S677" s="165"/>
      <c r="T677" s="165"/>
      <c r="U677" s="165"/>
      <c r="V677" s="165"/>
      <c r="W677" s="165"/>
      <c r="X677" s="165"/>
      <c r="Y677" s="165"/>
      <c r="Z677" s="165"/>
    </row>
    <row r="678" spans="1:26" ht="12.75" customHeight="1">
      <c r="A678" s="165"/>
      <c r="B678" s="165"/>
      <c r="C678" s="165"/>
      <c r="D678" s="165"/>
      <c r="E678" s="165"/>
      <c r="F678" s="165"/>
      <c r="G678" s="165"/>
      <c r="H678" s="165"/>
      <c r="I678" s="165"/>
      <c r="J678" s="165"/>
      <c r="K678" s="165"/>
      <c r="L678" s="165"/>
      <c r="M678" s="165"/>
      <c r="N678" s="165"/>
      <c r="O678" s="165"/>
      <c r="P678" s="165"/>
      <c r="Q678" s="165"/>
      <c r="R678" s="165"/>
      <c r="S678" s="165"/>
      <c r="T678" s="165"/>
      <c r="U678" s="165"/>
      <c r="V678" s="165"/>
      <c r="W678" s="165"/>
      <c r="X678" s="165"/>
      <c r="Y678" s="165"/>
      <c r="Z678" s="165"/>
    </row>
    <row r="679" spans="1:26" ht="12.75" customHeight="1">
      <c r="A679" s="165"/>
      <c r="B679" s="165"/>
      <c r="C679" s="165"/>
      <c r="D679" s="165"/>
      <c r="E679" s="165"/>
      <c r="F679" s="165"/>
      <c r="G679" s="165"/>
      <c r="H679" s="165"/>
      <c r="I679" s="165"/>
      <c r="J679" s="165"/>
      <c r="K679" s="165"/>
      <c r="L679" s="165"/>
      <c r="M679" s="165"/>
      <c r="N679" s="165"/>
      <c r="O679" s="165"/>
      <c r="P679" s="165"/>
      <c r="Q679" s="165"/>
      <c r="R679" s="165"/>
      <c r="S679" s="165"/>
      <c r="T679" s="165"/>
      <c r="U679" s="165"/>
      <c r="V679" s="165"/>
      <c r="W679" s="165"/>
      <c r="X679" s="165"/>
      <c r="Y679" s="165"/>
      <c r="Z679" s="165"/>
    </row>
    <row r="680" spans="1:26" ht="12.75" customHeight="1">
      <c r="A680" s="165"/>
      <c r="B680" s="165"/>
      <c r="C680" s="165"/>
      <c r="D680" s="165"/>
      <c r="E680" s="165"/>
      <c r="F680" s="165"/>
      <c r="G680" s="165"/>
      <c r="H680" s="165"/>
      <c r="I680" s="165"/>
      <c r="J680" s="165"/>
      <c r="K680" s="165"/>
      <c r="L680" s="165"/>
      <c r="M680" s="165"/>
      <c r="N680" s="165"/>
      <c r="O680" s="165"/>
      <c r="P680" s="165"/>
      <c r="Q680" s="165"/>
      <c r="R680" s="165"/>
      <c r="S680" s="165"/>
      <c r="T680" s="165"/>
      <c r="U680" s="165"/>
      <c r="V680" s="165"/>
      <c r="W680" s="165"/>
      <c r="X680" s="165"/>
      <c r="Y680" s="165"/>
      <c r="Z680" s="165"/>
    </row>
    <row r="681" spans="1:26" ht="12.75" customHeight="1">
      <c r="A681" s="165"/>
      <c r="B681" s="165"/>
      <c r="C681" s="165"/>
      <c r="D681" s="165"/>
      <c r="E681" s="165"/>
      <c r="F681" s="165"/>
      <c r="G681" s="165"/>
      <c r="H681" s="165"/>
      <c r="I681" s="165"/>
      <c r="J681" s="165"/>
      <c r="K681" s="165"/>
      <c r="L681" s="165"/>
      <c r="M681" s="165"/>
      <c r="N681" s="165"/>
      <c r="O681" s="165"/>
      <c r="P681" s="165"/>
      <c r="Q681" s="165"/>
      <c r="R681" s="165"/>
      <c r="S681" s="165"/>
      <c r="T681" s="165"/>
      <c r="U681" s="165"/>
      <c r="V681" s="165"/>
      <c r="W681" s="165"/>
      <c r="X681" s="165"/>
      <c r="Y681" s="165"/>
      <c r="Z681" s="165"/>
    </row>
    <row r="682" spans="1:26" ht="12.75" customHeight="1">
      <c r="A682" s="165"/>
      <c r="B682" s="165"/>
      <c r="C682" s="165"/>
      <c r="D682" s="165"/>
      <c r="E682" s="165"/>
      <c r="F682" s="165"/>
      <c r="G682" s="165"/>
      <c r="H682" s="165"/>
      <c r="I682" s="165"/>
      <c r="J682" s="165"/>
      <c r="K682" s="165"/>
      <c r="L682" s="165"/>
      <c r="M682" s="165"/>
      <c r="N682" s="165"/>
      <c r="O682" s="165"/>
      <c r="P682" s="165"/>
      <c r="Q682" s="165"/>
      <c r="R682" s="165"/>
      <c r="S682" s="165"/>
      <c r="T682" s="165"/>
      <c r="U682" s="165"/>
      <c r="V682" s="165"/>
      <c r="W682" s="165"/>
      <c r="X682" s="165"/>
      <c r="Y682" s="165"/>
      <c r="Z682" s="165"/>
    </row>
    <row r="683" spans="1:26" ht="12.75" customHeight="1">
      <c r="A683" s="165"/>
      <c r="B683" s="165"/>
      <c r="C683" s="165"/>
      <c r="D683" s="165"/>
      <c r="E683" s="165"/>
      <c r="F683" s="165"/>
      <c r="G683" s="165"/>
      <c r="H683" s="165"/>
      <c r="I683" s="165"/>
      <c r="J683" s="165"/>
      <c r="K683" s="165"/>
      <c r="L683" s="165"/>
      <c r="M683" s="165"/>
      <c r="N683" s="165"/>
      <c r="O683" s="165"/>
      <c r="P683" s="165"/>
      <c r="Q683" s="165"/>
      <c r="R683" s="165"/>
      <c r="S683" s="165"/>
      <c r="T683" s="165"/>
      <c r="U683" s="165"/>
      <c r="V683" s="165"/>
      <c r="W683" s="165"/>
      <c r="X683" s="165"/>
      <c r="Y683" s="165"/>
      <c r="Z683" s="165"/>
    </row>
    <row r="684" spans="1:26" ht="12.75" customHeight="1">
      <c r="A684" s="165"/>
      <c r="B684" s="165"/>
      <c r="C684" s="165"/>
      <c r="D684" s="165"/>
      <c r="E684" s="165"/>
      <c r="F684" s="165"/>
      <c r="G684" s="165"/>
      <c r="H684" s="165"/>
      <c r="I684" s="165"/>
      <c r="J684" s="165"/>
      <c r="K684" s="165"/>
      <c r="L684" s="165"/>
      <c r="M684" s="165"/>
      <c r="N684" s="165"/>
      <c r="O684" s="165"/>
      <c r="P684" s="165"/>
      <c r="Q684" s="165"/>
      <c r="R684" s="165"/>
      <c r="S684" s="165"/>
      <c r="T684" s="165"/>
      <c r="U684" s="165"/>
      <c r="V684" s="165"/>
      <c r="W684" s="165"/>
      <c r="X684" s="165"/>
      <c r="Y684" s="165"/>
      <c r="Z684" s="165"/>
    </row>
    <row r="685" spans="1:26" ht="12.75" customHeight="1">
      <c r="A685" s="165"/>
      <c r="B685" s="165"/>
      <c r="C685" s="165"/>
      <c r="D685" s="165"/>
      <c r="E685" s="165"/>
      <c r="F685" s="165"/>
      <c r="G685" s="165"/>
      <c r="H685" s="165"/>
      <c r="I685" s="165"/>
      <c r="J685" s="165"/>
      <c r="K685" s="165"/>
      <c r="L685" s="165"/>
      <c r="M685" s="165"/>
      <c r="N685" s="165"/>
      <c r="O685" s="165"/>
      <c r="P685" s="165"/>
      <c r="Q685" s="165"/>
      <c r="R685" s="165"/>
      <c r="S685" s="165"/>
      <c r="T685" s="165"/>
      <c r="U685" s="165"/>
      <c r="V685" s="165"/>
      <c r="W685" s="165"/>
      <c r="X685" s="165"/>
      <c r="Y685" s="165"/>
      <c r="Z685" s="165"/>
    </row>
    <row r="686" spans="1:26" ht="12.75" customHeight="1">
      <c r="A686" s="165"/>
      <c r="B686" s="165"/>
      <c r="C686" s="165"/>
      <c r="D686" s="165"/>
      <c r="E686" s="165"/>
      <c r="F686" s="165"/>
      <c r="G686" s="165"/>
      <c r="H686" s="165"/>
      <c r="I686" s="165"/>
      <c r="J686" s="165"/>
      <c r="K686" s="165"/>
      <c r="L686" s="165"/>
      <c r="M686" s="165"/>
      <c r="N686" s="165"/>
      <c r="O686" s="165"/>
      <c r="P686" s="165"/>
      <c r="Q686" s="165"/>
      <c r="R686" s="165"/>
      <c r="S686" s="165"/>
      <c r="T686" s="165"/>
      <c r="U686" s="165"/>
      <c r="V686" s="165"/>
      <c r="W686" s="165"/>
      <c r="X686" s="165"/>
      <c r="Y686" s="165"/>
      <c r="Z686" s="165"/>
    </row>
    <row r="687" spans="1:26" ht="12.75" customHeight="1">
      <c r="A687" s="165"/>
      <c r="B687" s="165"/>
      <c r="C687" s="165"/>
      <c r="D687" s="165"/>
      <c r="E687" s="165"/>
      <c r="F687" s="165"/>
      <c r="G687" s="165"/>
      <c r="H687" s="165"/>
      <c r="I687" s="165"/>
      <c r="J687" s="165"/>
      <c r="K687" s="165"/>
      <c r="L687" s="165"/>
      <c r="M687" s="165"/>
      <c r="N687" s="165"/>
      <c r="O687" s="165"/>
      <c r="P687" s="165"/>
      <c r="Q687" s="165"/>
      <c r="R687" s="165"/>
      <c r="S687" s="165"/>
      <c r="T687" s="165"/>
      <c r="U687" s="165"/>
      <c r="V687" s="165"/>
      <c r="W687" s="165"/>
      <c r="X687" s="165"/>
      <c r="Y687" s="165"/>
      <c r="Z687" s="165"/>
    </row>
    <row r="688" spans="1:26" ht="12.75" customHeight="1">
      <c r="A688" s="165"/>
      <c r="B688" s="165"/>
      <c r="C688" s="165"/>
      <c r="D688" s="165"/>
      <c r="E688" s="165"/>
      <c r="F688" s="165"/>
      <c r="G688" s="165"/>
      <c r="H688" s="165"/>
      <c r="I688" s="165"/>
      <c r="J688" s="165"/>
      <c r="K688" s="165"/>
      <c r="L688" s="165"/>
      <c r="M688" s="165"/>
      <c r="N688" s="165"/>
      <c r="O688" s="165"/>
      <c r="P688" s="165"/>
      <c r="Q688" s="165"/>
      <c r="R688" s="165"/>
      <c r="S688" s="165"/>
      <c r="T688" s="165"/>
      <c r="U688" s="165"/>
      <c r="V688" s="165"/>
      <c r="W688" s="165"/>
      <c r="X688" s="165"/>
      <c r="Y688" s="165"/>
      <c r="Z688" s="165"/>
    </row>
    <row r="689" spans="1:26" ht="12.75" customHeight="1">
      <c r="A689" s="165"/>
      <c r="B689" s="165"/>
      <c r="C689" s="165"/>
      <c r="D689" s="165"/>
      <c r="E689" s="165"/>
      <c r="F689" s="165"/>
      <c r="G689" s="165"/>
      <c r="H689" s="165"/>
      <c r="I689" s="165"/>
      <c r="J689" s="165"/>
      <c r="K689" s="165"/>
      <c r="L689" s="165"/>
      <c r="M689" s="165"/>
      <c r="N689" s="165"/>
      <c r="O689" s="165"/>
      <c r="P689" s="165"/>
      <c r="Q689" s="165"/>
      <c r="R689" s="165"/>
      <c r="S689" s="165"/>
      <c r="T689" s="165"/>
      <c r="U689" s="165"/>
      <c r="V689" s="165"/>
      <c r="W689" s="165"/>
      <c r="X689" s="165"/>
      <c r="Y689" s="165"/>
      <c r="Z689" s="165"/>
    </row>
    <row r="690" spans="1:26" ht="12.75" customHeight="1">
      <c r="A690" s="165"/>
      <c r="B690" s="165"/>
      <c r="C690" s="165"/>
      <c r="D690" s="165"/>
      <c r="E690" s="165"/>
      <c r="F690" s="165"/>
      <c r="G690" s="165"/>
      <c r="H690" s="165"/>
      <c r="I690" s="165"/>
      <c r="J690" s="165"/>
      <c r="K690" s="165"/>
      <c r="L690" s="165"/>
      <c r="M690" s="165"/>
      <c r="N690" s="165"/>
      <c r="O690" s="165"/>
      <c r="P690" s="165"/>
      <c r="Q690" s="165"/>
      <c r="R690" s="165"/>
      <c r="S690" s="165"/>
      <c r="T690" s="165"/>
      <c r="U690" s="165"/>
      <c r="V690" s="165"/>
      <c r="W690" s="165"/>
      <c r="X690" s="165"/>
      <c r="Y690" s="165"/>
      <c r="Z690" s="165"/>
    </row>
    <row r="691" spans="1:26" ht="12.75" customHeight="1">
      <c r="A691" s="165"/>
      <c r="B691" s="165"/>
      <c r="C691" s="165"/>
      <c r="D691" s="165"/>
      <c r="E691" s="165"/>
      <c r="F691" s="165"/>
      <c r="G691" s="165"/>
      <c r="H691" s="165"/>
      <c r="I691" s="165"/>
      <c r="J691" s="165"/>
      <c r="K691" s="165"/>
      <c r="L691" s="165"/>
      <c r="M691" s="165"/>
      <c r="N691" s="165"/>
      <c r="O691" s="165"/>
      <c r="P691" s="165"/>
      <c r="Q691" s="165"/>
      <c r="R691" s="165"/>
      <c r="S691" s="165"/>
      <c r="T691" s="165"/>
      <c r="U691" s="165"/>
      <c r="V691" s="165"/>
      <c r="W691" s="165"/>
      <c r="X691" s="165"/>
      <c r="Y691" s="165"/>
      <c r="Z691" s="165"/>
    </row>
    <row r="692" spans="1:26" ht="12.75" customHeight="1">
      <c r="A692" s="165"/>
      <c r="B692" s="165"/>
      <c r="C692" s="165"/>
      <c r="D692" s="165"/>
      <c r="E692" s="165"/>
      <c r="F692" s="165"/>
      <c r="G692" s="165"/>
      <c r="H692" s="165"/>
      <c r="I692" s="165"/>
      <c r="J692" s="165"/>
      <c r="K692" s="165"/>
      <c r="L692" s="165"/>
      <c r="M692" s="165"/>
      <c r="N692" s="165"/>
      <c r="O692" s="165"/>
      <c r="P692" s="165"/>
      <c r="Q692" s="165"/>
      <c r="R692" s="165"/>
      <c r="S692" s="165"/>
      <c r="T692" s="165"/>
      <c r="U692" s="165"/>
      <c r="V692" s="165"/>
      <c r="W692" s="165"/>
      <c r="X692" s="165"/>
      <c r="Y692" s="165"/>
      <c r="Z692" s="165"/>
    </row>
    <row r="693" spans="1:26" ht="12.75" customHeight="1">
      <c r="A693" s="165"/>
      <c r="B693" s="165"/>
      <c r="C693" s="165"/>
      <c r="D693" s="165"/>
      <c r="E693" s="165"/>
      <c r="F693" s="165"/>
      <c r="G693" s="165"/>
      <c r="H693" s="165"/>
      <c r="I693" s="165"/>
      <c r="J693" s="165"/>
      <c r="K693" s="165"/>
      <c r="L693" s="165"/>
      <c r="M693" s="165"/>
      <c r="N693" s="165"/>
      <c r="O693" s="165"/>
      <c r="P693" s="165"/>
      <c r="Q693" s="165"/>
      <c r="R693" s="165"/>
      <c r="S693" s="165"/>
      <c r="T693" s="165"/>
      <c r="U693" s="165"/>
      <c r="V693" s="165"/>
      <c r="W693" s="165"/>
      <c r="X693" s="165"/>
      <c r="Y693" s="165"/>
      <c r="Z693" s="165"/>
    </row>
    <row r="694" spans="1:26" ht="12.75" customHeight="1">
      <c r="A694" s="165"/>
      <c r="B694" s="165"/>
      <c r="C694" s="165"/>
      <c r="D694" s="165"/>
      <c r="E694" s="165"/>
      <c r="F694" s="165"/>
      <c r="G694" s="165"/>
      <c r="H694" s="165"/>
      <c r="I694" s="165"/>
      <c r="J694" s="165"/>
      <c r="K694" s="165"/>
      <c r="L694" s="165"/>
      <c r="M694" s="165"/>
      <c r="N694" s="165"/>
      <c r="O694" s="165"/>
      <c r="P694" s="165"/>
      <c r="Q694" s="165"/>
      <c r="R694" s="165"/>
      <c r="S694" s="165"/>
      <c r="T694" s="165"/>
      <c r="U694" s="165"/>
      <c r="V694" s="165"/>
      <c r="W694" s="165"/>
      <c r="X694" s="165"/>
      <c r="Y694" s="165"/>
      <c r="Z694" s="165"/>
    </row>
    <row r="695" spans="1:26" ht="12.75" customHeight="1">
      <c r="A695" s="165"/>
      <c r="B695" s="165"/>
      <c r="C695" s="165"/>
      <c r="D695" s="165"/>
      <c r="E695" s="165"/>
      <c r="F695" s="165"/>
      <c r="G695" s="165"/>
      <c r="H695" s="165"/>
      <c r="I695" s="165"/>
      <c r="J695" s="165"/>
      <c r="K695" s="165"/>
      <c r="L695" s="165"/>
      <c r="M695" s="165"/>
      <c r="N695" s="165"/>
      <c r="O695" s="165"/>
      <c r="P695" s="165"/>
      <c r="Q695" s="165"/>
      <c r="R695" s="165"/>
      <c r="S695" s="165"/>
      <c r="T695" s="165"/>
      <c r="U695" s="165"/>
      <c r="V695" s="165"/>
      <c r="W695" s="165"/>
      <c r="X695" s="165"/>
      <c r="Y695" s="165"/>
      <c r="Z695" s="165"/>
    </row>
    <row r="696" spans="1:26" ht="12.75" customHeight="1">
      <c r="A696" s="165"/>
      <c r="B696" s="165"/>
      <c r="C696" s="165"/>
      <c r="D696" s="165"/>
      <c r="E696" s="165"/>
      <c r="F696" s="165"/>
      <c r="G696" s="165"/>
      <c r="H696" s="165"/>
      <c r="I696" s="165"/>
      <c r="J696" s="165"/>
      <c r="K696" s="165"/>
      <c r="L696" s="165"/>
      <c r="M696" s="165"/>
      <c r="N696" s="165"/>
      <c r="O696" s="165"/>
      <c r="P696" s="165"/>
      <c r="Q696" s="165"/>
      <c r="R696" s="165"/>
      <c r="S696" s="165"/>
      <c r="T696" s="165"/>
      <c r="U696" s="165"/>
      <c r="V696" s="165"/>
      <c r="W696" s="165"/>
      <c r="X696" s="165"/>
      <c r="Y696" s="165"/>
      <c r="Z696" s="165"/>
    </row>
    <row r="697" spans="1:26" ht="12.75" customHeight="1">
      <c r="A697" s="165"/>
      <c r="B697" s="165"/>
      <c r="C697" s="165"/>
      <c r="D697" s="165"/>
      <c r="E697" s="165"/>
      <c r="F697" s="165"/>
      <c r="G697" s="165"/>
      <c r="H697" s="165"/>
      <c r="I697" s="165"/>
      <c r="J697" s="165"/>
      <c r="K697" s="165"/>
      <c r="L697" s="165"/>
      <c r="M697" s="165"/>
      <c r="N697" s="165"/>
      <c r="O697" s="165"/>
      <c r="P697" s="165"/>
      <c r="Q697" s="165"/>
      <c r="R697" s="165"/>
      <c r="S697" s="165"/>
      <c r="T697" s="165"/>
      <c r="U697" s="165"/>
      <c r="V697" s="165"/>
      <c r="W697" s="165"/>
      <c r="X697" s="165"/>
      <c r="Y697" s="165"/>
      <c r="Z697" s="165"/>
    </row>
    <row r="698" spans="1:26" ht="12.75" customHeight="1">
      <c r="A698" s="165"/>
      <c r="B698" s="165"/>
      <c r="C698" s="165"/>
      <c r="D698" s="165"/>
      <c r="E698" s="165"/>
      <c r="F698" s="165"/>
      <c r="G698" s="165"/>
      <c r="H698" s="165"/>
      <c r="I698" s="165"/>
      <c r="J698" s="165"/>
      <c r="K698" s="165"/>
      <c r="L698" s="165"/>
      <c r="M698" s="165"/>
      <c r="N698" s="165"/>
      <c r="O698" s="165"/>
      <c r="P698" s="165"/>
      <c r="Q698" s="165"/>
      <c r="R698" s="165"/>
      <c r="S698" s="165"/>
      <c r="T698" s="165"/>
      <c r="U698" s="165"/>
      <c r="V698" s="165"/>
      <c r="W698" s="165"/>
      <c r="X698" s="165"/>
      <c r="Y698" s="165"/>
      <c r="Z698" s="165"/>
    </row>
    <row r="699" spans="1:26" ht="12.75" customHeight="1">
      <c r="A699" s="165"/>
      <c r="B699" s="165"/>
      <c r="C699" s="165"/>
      <c r="D699" s="165"/>
      <c r="E699" s="165"/>
      <c r="F699" s="165"/>
      <c r="G699" s="165"/>
      <c r="H699" s="165"/>
      <c r="I699" s="165"/>
      <c r="J699" s="165"/>
      <c r="K699" s="165"/>
      <c r="L699" s="165"/>
      <c r="M699" s="165"/>
      <c r="N699" s="165"/>
      <c r="O699" s="165"/>
      <c r="P699" s="165"/>
      <c r="Q699" s="165"/>
      <c r="R699" s="165"/>
      <c r="S699" s="165"/>
      <c r="T699" s="165"/>
      <c r="U699" s="165"/>
      <c r="V699" s="165"/>
      <c r="W699" s="165"/>
      <c r="X699" s="165"/>
      <c r="Y699" s="165"/>
      <c r="Z699" s="165"/>
    </row>
    <row r="700" spans="1:26" ht="12.75" customHeight="1">
      <c r="A700" s="165"/>
      <c r="B700" s="165"/>
      <c r="C700" s="165"/>
      <c r="D700" s="165"/>
      <c r="E700" s="165"/>
      <c r="F700" s="165"/>
      <c r="G700" s="165"/>
      <c r="H700" s="165"/>
      <c r="I700" s="165"/>
      <c r="J700" s="165"/>
      <c r="K700" s="165"/>
      <c r="L700" s="165"/>
      <c r="M700" s="165"/>
      <c r="N700" s="165"/>
      <c r="O700" s="165"/>
      <c r="P700" s="165"/>
      <c r="Q700" s="165"/>
      <c r="R700" s="165"/>
      <c r="S700" s="165"/>
      <c r="T700" s="165"/>
      <c r="U700" s="165"/>
      <c r="V700" s="165"/>
      <c r="W700" s="165"/>
      <c r="X700" s="165"/>
      <c r="Y700" s="165"/>
      <c r="Z700" s="165"/>
    </row>
    <row r="701" spans="1:26" ht="12.75" customHeight="1">
      <c r="A701" s="165"/>
      <c r="B701" s="165"/>
      <c r="C701" s="165"/>
      <c r="D701" s="165"/>
      <c r="E701" s="165"/>
      <c r="F701" s="165"/>
      <c r="G701" s="165"/>
      <c r="H701" s="165"/>
      <c r="I701" s="165"/>
      <c r="J701" s="165"/>
      <c r="K701" s="165"/>
      <c r="L701" s="165"/>
      <c r="M701" s="165"/>
      <c r="N701" s="165"/>
      <c r="O701" s="165"/>
      <c r="P701" s="165"/>
      <c r="Q701" s="165"/>
      <c r="R701" s="165"/>
      <c r="S701" s="165"/>
      <c r="T701" s="165"/>
      <c r="U701" s="165"/>
      <c r="V701" s="165"/>
      <c r="W701" s="165"/>
      <c r="X701" s="165"/>
      <c r="Y701" s="165"/>
      <c r="Z701" s="165"/>
    </row>
    <row r="702" spans="1:26" ht="12.75" customHeight="1">
      <c r="A702" s="165"/>
      <c r="B702" s="165"/>
      <c r="C702" s="165"/>
      <c r="D702" s="165"/>
      <c r="E702" s="165"/>
      <c r="F702" s="165"/>
      <c r="G702" s="165"/>
      <c r="H702" s="165"/>
      <c r="I702" s="165"/>
      <c r="J702" s="165"/>
      <c r="K702" s="165"/>
      <c r="L702" s="165"/>
      <c r="M702" s="165"/>
      <c r="N702" s="165"/>
      <c r="O702" s="165"/>
      <c r="P702" s="165"/>
      <c r="Q702" s="165"/>
      <c r="R702" s="165"/>
      <c r="S702" s="165"/>
      <c r="T702" s="165"/>
      <c r="U702" s="165"/>
      <c r="V702" s="165"/>
      <c r="W702" s="165"/>
      <c r="X702" s="165"/>
      <c r="Y702" s="165"/>
      <c r="Z702" s="165"/>
    </row>
    <row r="703" spans="1:26" ht="12.75" customHeight="1">
      <c r="A703" s="165"/>
      <c r="B703" s="165"/>
      <c r="C703" s="165"/>
      <c r="D703" s="165"/>
      <c r="E703" s="165"/>
      <c r="F703" s="165"/>
      <c r="G703" s="165"/>
      <c r="H703" s="165"/>
      <c r="I703" s="165"/>
      <c r="J703" s="165"/>
      <c r="K703" s="165"/>
      <c r="L703" s="165"/>
      <c r="M703" s="165"/>
      <c r="N703" s="165"/>
      <c r="O703" s="165"/>
      <c r="P703" s="165"/>
      <c r="Q703" s="165"/>
      <c r="R703" s="165"/>
      <c r="S703" s="165"/>
      <c r="T703" s="165"/>
      <c r="U703" s="165"/>
      <c r="V703" s="165"/>
      <c r="W703" s="165"/>
      <c r="X703" s="165"/>
      <c r="Y703" s="165"/>
      <c r="Z703" s="165"/>
    </row>
    <row r="704" spans="1:26" ht="12.75" customHeight="1">
      <c r="A704" s="165"/>
      <c r="B704" s="165"/>
      <c r="C704" s="165"/>
      <c r="D704" s="165"/>
      <c r="E704" s="165"/>
      <c r="F704" s="165"/>
      <c r="G704" s="165"/>
      <c r="H704" s="165"/>
      <c r="I704" s="165"/>
      <c r="J704" s="165"/>
      <c r="K704" s="165"/>
      <c r="L704" s="165"/>
      <c r="M704" s="165"/>
      <c r="N704" s="165"/>
      <c r="O704" s="165"/>
      <c r="P704" s="165"/>
      <c r="Q704" s="165"/>
      <c r="R704" s="165"/>
      <c r="S704" s="165"/>
      <c r="T704" s="165"/>
      <c r="U704" s="165"/>
      <c r="V704" s="165"/>
      <c r="W704" s="165"/>
      <c r="X704" s="165"/>
      <c r="Y704" s="165"/>
      <c r="Z704" s="165"/>
    </row>
    <row r="705" spans="1:26" ht="12.75" customHeight="1">
      <c r="A705" s="165"/>
      <c r="B705" s="165"/>
      <c r="C705" s="165"/>
      <c r="D705" s="165"/>
      <c r="E705" s="165"/>
      <c r="F705" s="165"/>
      <c r="G705" s="165"/>
      <c r="H705" s="165"/>
      <c r="I705" s="165"/>
      <c r="J705" s="165"/>
      <c r="K705" s="165"/>
      <c r="L705" s="165"/>
      <c r="M705" s="165"/>
      <c r="N705" s="165"/>
      <c r="O705" s="165"/>
      <c r="P705" s="165"/>
      <c r="Q705" s="165"/>
      <c r="R705" s="165"/>
      <c r="S705" s="165"/>
      <c r="T705" s="165"/>
      <c r="U705" s="165"/>
      <c r="V705" s="165"/>
      <c r="W705" s="165"/>
      <c r="X705" s="165"/>
      <c r="Y705" s="165"/>
      <c r="Z705" s="165"/>
    </row>
    <row r="706" spans="1:26" ht="12.75" customHeight="1">
      <c r="A706" s="165"/>
      <c r="B706" s="165"/>
      <c r="C706" s="165"/>
      <c r="D706" s="165"/>
      <c r="E706" s="165"/>
      <c r="F706" s="165"/>
      <c r="G706" s="165"/>
      <c r="H706" s="165"/>
      <c r="I706" s="165"/>
      <c r="J706" s="165"/>
      <c r="K706" s="165"/>
      <c r="L706" s="165"/>
      <c r="M706" s="165"/>
      <c r="N706" s="165"/>
      <c r="O706" s="165"/>
      <c r="P706" s="165"/>
      <c r="Q706" s="165"/>
      <c r="R706" s="165"/>
      <c r="S706" s="165"/>
      <c r="T706" s="165"/>
      <c r="U706" s="165"/>
      <c r="V706" s="165"/>
      <c r="W706" s="165"/>
      <c r="X706" s="165"/>
      <c r="Y706" s="165"/>
      <c r="Z706" s="165"/>
    </row>
    <row r="707" spans="1:26" ht="12.75" customHeight="1">
      <c r="A707" s="165"/>
      <c r="B707" s="165"/>
      <c r="C707" s="165"/>
      <c r="D707" s="165"/>
      <c r="E707" s="165"/>
      <c r="F707" s="165"/>
      <c r="G707" s="165"/>
      <c r="H707" s="165"/>
      <c r="I707" s="165"/>
      <c r="J707" s="165"/>
      <c r="K707" s="165"/>
      <c r="L707" s="165"/>
      <c r="M707" s="165"/>
      <c r="N707" s="165"/>
      <c r="O707" s="165"/>
      <c r="P707" s="165"/>
      <c r="Q707" s="165"/>
      <c r="R707" s="165"/>
      <c r="S707" s="165"/>
      <c r="T707" s="165"/>
      <c r="U707" s="165"/>
      <c r="V707" s="165"/>
      <c r="W707" s="165"/>
      <c r="X707" s="165"/>
      <c r="Y707" s="165"/>
      <c r="Z707" s="165"/>
    </row>
    <row r="708" spans="1:26" ht="12.75" customHeight="1">
      <c r="A708" s="165"/>
      <c r="B708" s="165"/>
      <c r="C708" s="165"/>
      <c r="D708" s="165"/>
      <c r="E708" s="165"/>
      <c r="F708" s="165"/>
      <c r="G708" s="165"/>
      <c r="H708" s="165"/>
      <c r="I708" s="165"/>
      <c r="J708" s="165"/>
      <c r="K708" s="165"/>
      <c r="L708" s="165"/>
      <c r="M708" s="165"/>
      <c r="N708" s="165"/>
      <c r="O708" s="165"/>
      <c r="P708" s="165"/>
      <c r="Q708" s="165"/>
      <c r="R708" s="165"/>
      <c r="S708" s="165"/>
      <c r="T708" s="165"/>
      <c r="U708" s="165"/>
      <c r="V708" s="165"/>
      <c r="W708" s="165"/>
      <c r="X708" s="165"/>
      <c r="Y708" s="165"/>
      <c r="Z708" s="165"/>
    </row>
    <row r="709" spans="1:26" ht="12.75" customHeight="1">
      <c r="A709" s="165"/>
      <c r="B709" s="165"/>
      <c r="C709" s="165"/>
      <c r="D709" s="165"/>
      <c r="E709" s="165"/>
      <c r="F709" s="165"/>
      <c r="G709" s="165"/>
      <c r="H709" s="165"/>
      <c r="I709" s="165"/>
      <c r="J709" s="165"/>
      <c r="K709" s="165"/>
      <c r="L709" s="165"/>
      <c r="M709" s="165"/>
      <c r="N709" s="165"/>
      <c r="O709" s="165"/>
      <c r="P709" s="165"/>
      <c r="Q709" s="165"/>
      <c r="R709" s="165"/>
      <c r="S709" s="165"/>
      <c r="T709" s="165"/>
      <c r="U709" s="165"/>
      <c r="V709" s="165"/>
      <c r="W709" s="165"/>
      <c r="X709" s="165"/>
      <c r="Y709" s="165"/>
      <c r="Z709" s="165"/>
    </row>
    <row r="710" spans="1:26" ht="12.75" customHeight="1">
      <c r="A710" s="165"/>
      <c r="B710" s="165"/>
      <c r="C710" s="165"/>
      <c r="D710" s="165"/>
      <c r="E710" s="165"/>
      <c r="F710" s="165"/>
      <c r="G710" s="165"/>
      <c r="H710" s="165"/>
      <c r="I710" s="165"/>
      <c r="J710" s="165"/>
      <c r="K710" s="165"/>
      <c r="L710" s="165"/>
      <c r="M710" s="165"/>
      <c r="N710" s="165"/>
      <c r="O710" s="165"/>
      <c r="P710" s="165"/>
      <c r="Q710" s="165"/>
      <c r="R710" s="165"/>
      <c r="S710" s="165"/>
      <c r="T710" s="165"/>
      <c r="U710" s="165"/>
      <c r="V710" s="165"/>
      <c r="W710" s="165"/>
      <c r="X710" s="165"/>
      <c r="Y710" s="165"/>
      <c r="Z710" s="165"/>
    </row>
    <row r="711" spans="1:26" ht="12.75" customHeight="1">
      <c r="A711" s="165"/>
      <c r="B711" s="165"/>
      <c r="C711" s="165"/>
      <c r="D711" s="165"/>
      <c r="E711" s="165"/>
      <c r="F711" s="165"/>
      <c r="G711" s="165"/>
      <c r="H711" s="165"/>
      <c r="I711" s="165"/>
      <c r="J711" s="165"/>
      <c r="K711" s="165"/>
      <c r="L711" s="165"/>
      <c r="M711" s="165"/>
      <c r="N711" s="165"/>
      <c r="O711" s="165"/>
      <c r="P711" s="165"/>
      <c r="Q711" s="165"/>
      <c r="R711" s="165"/>
      <c r="S711" s="165"/>
      <c r="T711" s="165"/>
      <c r="U711" s="165"/>
      <c r="V711" s="165"/>
      <c r="W711" s="165"/>
      <c r="X711" s="165"/>
      <c r="Y711" s="165"/>
      <c r="Z711" s="165"/>
    </row>
    <row r="712" spans="1:26" ht="12.75" customHeight="1">
      <c r="A712" s="165"/>
      <c r="B712" s="165"/>
      <c r="C712" s="165"/>
      <c r="D712" s="165"/>
      <c r="E712" s="165"/>
      <c r="F712" s="165"/>
      <c r="G712" s="165"/>
      <c r="H712" s="165"/>
      <c r="I712" s="165"/>
      <c r="J712" s="165"/>
      <c r="K712" s="165"/>
      <c r="L712" s="165"/>
      <c r="M712" s="165"/>
      <c r="N712" s="165"/>
      <c r="O712" s="165"/>
      <c r="P712" s="165"/>
      <c r="Q712" s="165"/>
      <c r="R712" s="165"/>
      <c r="S712" s="165"/>
      <c r="T712" s="165"/>
      <c r="U712" s="165"/>
      <c r="V712" s="165"/>
      <c r="W712" s="165"/>
      <c r="X712" s="165"/>
      <c r="Y712" s="165"/>
      <c r="Z712" s="165"/>
    </row>
    <row r="713" spans="1:26" ht="12.75" customHeight="1">
      <c r="A713" s="165"/>
      <c r="B713" s="165"/>
      <c r="C713" s="165"/>
      <c r="D713" s="165"/>
      <c r="E713" s="165"/>
      <c r="F713" s="165"/>
      <c r="G713" s="165"/>
      <c r="H713" s="165"/>
      <c r="I713" s="165"/>
      <c r="J713" s="165"/>
      <c r="K713" s="165"/>
      <c r="L713" s="165"/>
      <c r="M713" s="165"/>
      <c r="N713" s="165"/>
      <c r="O713" s="165"/>
      <c r="P713" s="165"/>
      <c r="Q713" s="165"/>
      <c r="R713" s="165"/>
      <c r="S713" s="165"/>
      <c r="T713" s="165"/>
      <c r="U713" s="165"/>
      <c r="V713" s="165"/>
      <c r="W713" s="165"/>
      <c r="X713" s="165"/>
      <c r="Y713" s="165"/>
      <c r="Z713" s="165"/>
    </row>
    <row r="714" spans="1:26" ht="12.75" customHeight="1">
      <c r="A714" s="165"/>
      <c r="B714" s="165"/>
      <c r="C714" s="165"/>
      <c r="D714" s="165"/>
      <c r="E714" s="165"/>
      <c r="F714" s="165"/>
      <c r="G714" s="165"/>
      <c r="H714" s="165"/>
      <c r="I714" s="165"/>
      <c r="J714" s="165"/>
      <c r="K714" s="165"/>
      <c r="L714" s="165"/>
      <c r="M714" s="165"/>
      <c r="N714" s="165"/>
      <c r="O714" s="165"/>
      <c r="P714" s="165"/>
      <c r="Q714" s="165"/>
      <c r="R714" s="165"/>
      <c r="S714" s="165"/>
      <c r="T714" s="165"/>
      <c r="U714" s="165"/>
      <c r="V714" s="165"/>
      <c r="W714" s="165"/>
      <c r="X714" s="165"/>
      <c r="Y714" s="165"/>
      <c r="Z714" s="165"/>
    </row>
    <row r="715" spans="1:26" ht="12.75" customHeight="1">
      <c r="A715" s="165"/>
      <c r="B715" s="165"/>
      <c r="C715" s="165"/>
      <c r="D715" s="165"/>
      <c r="E715" s="165"/>
      <c r="F715" s="165"/>
      <c r="G715" s="165"/>
      <c r="H715" s="165"/>
      <c r="I715" s="165"/>
      <c r="J715" s="165"/>
      <c r="K715" s="165"/>
      <c r="L715" s="165"/>
      <c r="M715" s="165"/>
      <c r="N715" s="165"/>
      <c r="O715" s="165"/>
      <c r="P715" s="165"/>
      <c r="Q715" s="165"/>
      <c r="R715" s="165"/>
      <c r="S715" s="165"/>
      <c r="T715" s="165"/>
      <c r="U715" s="165"/>
      <c r="V715" s="165"/>
      <c r="W715" s="165"/>
      <c r="X715" s="165"/>
      <c r="Y715" s="165"/>
      <c r="Z715" s="165"/>
    </row>
    <row r="716" spans="1:26" ht="12.75" customHeight="1">
      <c r="A716" s="165"/>
      <c r="B716" s="165"/>
      <c r="C716" s="165"/>
      <c r="D716" s="165"/>
      <c r="E716" s="165"/>
      <c r="F716" s="165"/>
      <c r="G716" s="165"/>
      <c r="H716" s="165"/>
      <c r="I716" s="165"/>
      <c r="J716" s="165"/>
      <c r="K716" s="165"/>
      <c r="L716" s="165"/>
      <c r="M716" s="165"/>
      <c r="N716" s="165"/>
      <c r="O716" s="165"/>
      <c r="P716" s="165"/>
      <c r="Q716" s="165"/>
      <c r="R716" s="165"/>
      <c r="S716" s="165"/>
      <c r="T716" s="165"/>
      <c r="U716" s="165"/>
      <c r="V716" s="165"/>
      <c r="W716" s="165"/>
      <c r="X716" s="165"/>
      <c r="Y716" s="165"/>
      <c r="Z716" s="165"/>
    </row>
    <row r="717" spans="1:26" ht="12.75" customHeight="1">
      <c r="A717" s="165"/>
      <c r="B717" s="165"/>
      <c r="C717" s="165"/>
      <c r="D717" s="165"/>
      <c r="E717" s="165"/>
      <c r="F717" s="165"/>
      <c r="G717" s="165"/>
      <c r="H717" s="165"/>
      <c r="I717" s="165"/>
      <c r="J717" s="165"/>
      <c r="K717" s="165"/>
      <c r="L717" s="165"/>
      <c r="M717" s="165"/>
      <c r="N717" s="165"/>
      <c r="O717" s="165"/>
      <c r="P717" s="165"/>
      <c r="Q717" s="165"/>
      <c r="R717" s="165"/>
      <c r="S717" s="165"/>
      <c r="T717" s="165"/>
      <c r="U717" s="165"/>
      <c r="V717" s="165"/>
      <c r="W717" s="165"/>
      <c r="X717" s="165"/>
      <c r="Y717" s="165"/>
      <c r="Z717" s="165"/>
    </row>
    <row r="718" spans="1:26" ht="12.75" customHeight="1">
      <c r="A718" s="165"/>
      <c r="B718" s="165"/>
      <c r="C718" s="165"/>
      <c r="D718" s="165"/>
      <c r="E718" s="165"/>
      <c r="F718" s="165"/>
      <c r="G718" s="165"/>
      <c r="H718" s="165"/>
      <c r="I718" s="165"/>
      <c r="J718" s="165"/>
      <c r="K718" s="165"/>
      <c r="L718" s="165"/>
      <c r="M718" s="165"/>
      <c r="N718" s="165"/>
      <c r="O718" s="165"/>
      <c r="P718" s="165"/>
      <c r="Q718" s="165"/>
      <c r="R718" s="165"/>
      <c r="S718" s="165"/>
      <c r="T718" s="165"/>
      <c r="U718" s="165"/>
      <c r="V718" s="165"/>
      <c r="W718" s="165"/>
      <c r="X718" s="165"/>
      <c r="Y718" s="165"/>
      <c r="Z718" s="165"/>
    </row>
    <row r="719" spans="1:26" ht="12.75" customHeight="1">
      <c r="A719" s="165"/>
      <c r="B719" s="165"/>
      <c r="C719" s="165"/>
      <c r="D719" s="165"/>
      <c r="E719" s="165"/>
      <c r="F719" s="165"/>
      <c r="G719" s="165"/>
      <c r="H719" s="165"/>
      <c r="I719" s="165"/>
      <c r="J719" s="165"/>
      <c r="K719" s="165"/>
      <c r="L719" s="165"/>
      <c r="M719" s="165"/>
      <c r="N719" s="165"/>
      <c r="O719" s="165"/>
      <c r="P719" s="165"/>
      <c r="Q719" s="165"/>
      <c r="R719" s="165"/>
      <c r="S719" s="165"/>
      <c r="T719" s="165"/>
      <c r="U719" s="165"/>
      <c r="V719" s="165"/>
      <c r="W719" s="165"/>
      <c r="X719" s="165"/>
      <c r="Y719" s="165"/>
      <c r="Z719" s="165"/>
    </row>
    <row r="720" spans="1:26" ht="12.75" customHeight="1">
      <c r="A720" s="165"/>
      <c r="B720" s="165"/>
      <c r="C720" s="165"/>
      <c r="D720" s="165"/>
      <c r="E720" s="165"/>
      <c r="F720" s="165"/>
      <c r="G720" s="165"/>
      <c r="H720" s="165"/>
      <c r="I720" s="165"/>
      <c r="J720" s="165"/>
      <c r="K720" s="165"/>
      <c r="L720" s="165"/>
      <c r="M720" s="165"/>
      <c r="N720" s="165"/>
      <c r="O720" s="165"/>
      <c r="P720" s="165"/>
      <c r="Q720" s="165"/>
      <c r="R720" s="165"/>
      <c r="S720" s="165"/>
      <c r="T720" s="165"/>
      <c r="U720" s="165"/>
      <c r="V720" s="165"/>
      <c r="W720" s="165"/>
      <c r="X720" s="165"/>
      <c r="Y720" s="165"/>
      <c r="Z720" s="165"/>
    </row>
    <row r="721" spans="1:26" ht="12.75" customHeight="1">
      <c r="A721" s="165"/>
      <c r="B721" s="165"/>
      <c r="C721" s="165"/>
      <c r="D721" s="165"/>
      <c r="E721" s="165"/>
      <c r="F721" s="165"/>
      <c r="G721" s="165"/>
      <c r="H721" s="165"/>
      <c r="I721" s="165"/>
      <c r="J721" s="165"/>
      <c r="K721" s="165"/>
      <c r="L721" s="165"/>
      <c r="M721" s="165"/>
      <c r="N721" s="165"/>
      <c r="O721" s="165"/>
      <c r="P721" s="165"/>
      <c r="Q721" s="165"/>
      <c r="R721" s="165"/>
      <c r="S721" s="165"/>
      <c r="T721" s="165"/>
      <c r="U721" s="165"/>
      <c r="V721" s="165"/>
      <c r="W721" s="165"/>
      <c r="X721" s="165"/>
      <c r="Y721" s="165"/>
      <c r="Z721" s="165"/>
    </row>
    <row r="722" spans="1:26" ht="12.75" customHeight="1">
      <c r="A722" s="165"/>
      <c r="B722" s="165"/>
      <c r="C722" s="165"/>
      <c r="D722" s="165"/>
      <c r="E722" s="165"/>
      <c r="F722" s="165"/>
      <c r="G722" s="165"/>
      <c r="H722" s="165"/>
      <c r="I722" s="165"/>
      <c r="J722" s="165"/>
      <c r="K722" s="165"/>
      <c r="L722" s="165"/>
      <c r="M722" s="165"/>
      <c r="N722" s="165"/>
      <c r="O722" s="165"/>
      <c r="P722" s="165"/>
      <c r="Q722" s="165"/>
      <c r="R722" s="165"/>
      <c r="S722" s="165"/>
      <c r="T722" s="165"/>
      <c r="U722" s="165"/>
      <c r="V722" s="165"/>
      <c r="W722" s="165"/>
      <c r="X722" s="165"/>
      <c r="Y722" s="165"/>
      <c r="Z722" s="165"/>
    </row>
    <row r="723" spans="1:26" ht="12.75" customHeight="1">
      <c r="A723" s="165"/>
      <c r="B723" s="165"/>
      <c r="C723" s="165"/>
      <c r="D723" s="165"/>
      <c r="E723" s="165"/>
      <c r="F723" s="165"/>
      <c r="G723" s="165"/>
      <c r="H723" s="165"/>
      <c r="I723" s="165"/>
      <c r="J723" s="165"/>
      <c r="K723" s="165"/>
      <c r="L723" s="165"/>
      <c r="M723" s="165"/>
      <c r="N723" s="165"/>
      <c r="O723" s="165"/>
      <c r="P723" s="165"/>
      <c r="Q723" s="165"/>
      <c r="R723" s="165"/>
      <c r="S723" s="165"/>
      <c r="T723" s="165"/>
      <c r="U723" s="165"/>
      <c r="V723" s="165"/>
      <c r="W723" s="165"/>
      <c r="X723" s="165"/>
      <c r="Y723" s="165"/>
      <c r="Z723" s="165"/>
    </row>
    <row r="724" spans="1:26" ht="12.75" customHeight="1">
      <c r="A724" s="165"/>
      <c r="B724" s="165"/>
      <c r="C724" s="165"/>
      <c r="D724" s="165"/>
      <c r="E724" s="165"/>
      <c r="F724" s="165"/>
      <c r="G724" s="165"/>
      <c r="H724" s="165"/>
      <c r="I724" s="165"/>
      <c r="J724" s="165"/>
      <c r="K724" s="165"/>
      <c r="L724" s="165"/>
      <c r="M724" s="165"/>
      <c r="N724" s="165"/>
      <c r="O724" s="165"/>
      <c r="P724" s="165"/>
      <c r="Q724" s="165"/>
      <c r="R724" s="165"/>
      <c r="S724" s="165"/>
      <c r="T724" s="165"/>
      <c r="U724" s="165"/>
      <c r="V724" s="165"/>
      <c r="W724" s="165"/>
      <c r="X724" s="165"/>
      <c r="Y724" s="165"/>
      <c r="Z724" s="165"/>
    </row>
    <row r="725" spans="1:26" ht="12.75" customHeight="1">
      <c r="A725" s="165"/>
      <c r="B725" s="165"/>
      <c r="C725" s="165"/>
      <c r="D725" s="165"/>
      <c r="E725" s="165"/>
      <c r="F725" s="165"/>
      <c r="G725" s="165"/>
      <c r="H725" s="165"/>
      <c r="I725" s="165"/>
      <c r="J725" s="165"/>
      <c r="K725" s="165"/>
      <c r="L725" s="165"/>
      <c r="M725" s="165"/>
      <c r="N725" s="165"/>
      <c r="O725" s="165"/>
      <c r="P725" s="165"/>
      <c r="Q725" s="165"/>
      <c r="R725" s="165"/>
      <c r="S725" s="165"/>
      <c r="T725" s="165"/>
      <c r="U725" s="165"/>
      <c r="V725" s="165"/>
      <c r="W725" s="165"/>
      <c r="X725" s="165"/>
      <c r="Y725" s="165"/>
      <c r="Z725" s="165"/>
    </row>
    <row r="726" spans="1:26" ht="12.75" customHeight="1">
      <c r="A726" s="165"/>
      <c r="B726" s="165"/>
      <c r="C726" s="165"/>
      <c r="D726" s="165"/>
      <c r="E726" s="165"/>
      <c r="F726" s="165"/>
      <c r="G726" s="165"/>
      <c r="H726" s="165"/>
      <c r="I726" s="165"/>
      <c r="J726" s="165"/>
      <c r="K726" s="165"/>
      <c r="L726" s="165"/>
      <c r="M726" s="165"/>
      <c r="N726" s="165"/>
      <c r="O726" s="165"/>
      <c r="P726" s="165"/>
      <c r="Q726" s="165"/>
      <c r="R726" s="165"/>
      <c r="S726" s="165"/>
      <c r="T726" s="165"/>
      <c r="U726" s="165"/>
      <c r="V726" s="165"/>
      <c r="W726" s="165"/>
      <c r="X726" s="165"/>
      <c r="Y726" s="165"/>
      <c r="Z726" s="165"/>
    </row>
    <row r="727" spans="1:26" ht="12.75" customHeight="1">
      <c r="A727" s="165"/>
      <c r="B727" s="165"/>
      <c r="C727" s="165"/>
      <c r="D727" s="165"/>
      <c r="E727" s="165"/>
      <c r="F727" s="165"/>
      <c r="G727" s="165"/>
      <c r="H727" s="165"/>
      <c r="I727" s="165"/>
      <c r="J727" s="165"/>
      <c r="K727" s="165"/>
      <c r="L727" s="165"/>
      <c r="M727" s="165"/>
      <c r="N727" s="165"/>
      <c r="O727" s="165"/>
      <c r="P727" s="165"/>
      <c r="Q727" s="165"/>
      <c r="R727" s="165"/>
      <c r="S727" s="165"/>
      <c r="T727" s="165"/>
      <c r="U727" s="165"/>
      <c r="V727" s="165"/>
      <c r="W727" s="165"/>
      <c r="X727" s="165"/>
      <c r="Y727" s="165"/>
      <c r="Z727" s="165"/>
    </row>
    <row r="728" spans="1:26" ht="12.75" customHeight="1">
      <c r="A728" s="165"/>
      <c r="B728" s="165"/>
      <c r="C728" s="165"/>
      <c r="D728" s="165"/>
      <c r="E728" s="165"/>
      <c r="F728" s="165"/>
      <c r="G728" s="165"/>
      <c r="H728" s="165"/>
      <c r="I728" s="165"/>
      <c r="J728" s="165"/>
      <c r="K728" s="165"/>
      <c r="L728" s="165"/>
      <c r="M728" s="165"/>
      <c r="N728" s="165"/>
      <c r="O728" s="165"/>
      <c r="P728" s="165"/>
      <c r="Q728" s="165"/>
      <c r="R728" s="165"/>
      <c r="S728" s="165"/>
      <c r="T728" s="165"/>
      <c r="U728" s="165"/>
      <c r="V728" s="165"/>
      <c r="W728" s="165"/>
      <c r="X728" s="165"/>
      <c r="Y728" s="165"/>
      <c r="Z728" s="165"/>
    </row>
    <row r="729" spans="1:26" ht="12.75" customHeight="1">
      <c r="A729" s="165"/>
      <c r="B729" s="165"/>
      <c r="C729" s="165"/>
      <c r="D729" s="165"/>
      <c r="E729" s="165"/>
      <c r="F729" s="165"/>
      <c r="G729" s="165"/>
      <c r="H729" s="165"/>
      <c r="I729" s="165"/>
      <c r="J729" s="165"/>
      <c r="K729" s="165"/>
      <c r="L729" s="165"/>
      <c r="M729" s="165"/>
      <c r="N729" s="165"/>
      <c r="O729" s="165"/>
      <c r="P729" s="165"/>
      <c r="Q729" s="165"/>
      <c r="R729" s="165"/>
      <c r="S729" s="165"/>
      <c r="T729" s="165"/>
      <c r="U729" s="165"/>
      <c r="V729" s="165"/>
      <c r="W729" s="165"/>
      <c r="X729" s="165"/>
      <c r="Y729" s="165"/>
      <c r="Z729" s="165"/>
    </row>
    <row r="730" spans="1:26" ht="12.75" customHeight="1">
      <c r="A730" s="165"/>
      <c r="B730" s="165"/>
      <c r="C730" s="165"/>
      <c r="D730" s="165"/>
      <c r="E730" s="165"/>
      <c r="F730" s="165"/>
      <c r="G730" s="165"/>
      <c r="H730" s="165"/>
      <c r="I730" s="165"/>
      <c r="J730" s="165"/>
      <c r="K730" s="165"/>
      <c r="L730" s="165"/>
      <c r="M730" s="165"/>
      <c r="N730" s="165"/>
      <c r="O730" s="165"/>
      <c r="P730" s="165"/>
      <c r="Q730" s="165"/>
      <c r="R730" s="165"/>
      <c r="S730" s="165"/>
      <c r="T730" s="165"/>
      <c r="U730" s="165"/>
      <c r="V730" s="165"/>
      <c r="W730" s="165"/>
      <c r="X730" s="165"/>
      <c r="Y730" s="165"/>
      <c r="Z730" s="165"/>
    </row>
    <row r="731" spans="1:26" ht="12.75" customHeight="1">
      <c r="A731" s="165"/>
      <c r="B731" s="165"/>
      <c r="C731" s="165"/>
      <c r="D731" s="165"/>
      <c r="E731" s="165"/>
      <c r="F731" s="165"/>
      <c r="G731" s="165"/>
      <c r="H731" s="165"/>
      <c r="I731" s="165"/>
      <c r="J731" s="165"/>
      <c r="K731" s="165"/>
      <c r="L731" s="165"/>
      <c r="M731" s="165"/>
      <c r="N731" s="165"/>
      <c r="O731" s="165"/>
      <c r="P731" s="165"/>
      <c r="Q731" s="165"/>
      <c r="R731" s="165"/>
      <c r="S731" s="165"/>
      <c r="T731" s="165"/>
      <c r="U731" s="165"/>
      <c r="V731" s="165"/>
      <c r="W731" s="165"/>
      <c r="X731" s="165"/>
      <c r="Y731" s="165"/>
      <c r="Z731" s="165"/>
    </row>
    <row r="732" spans="1:26" ht="12.75" customHeight="1">
      <c r="A732" s="165"/>
      <c r="B732" s="165"/>
      <c r="C732" s="165"/>
      <c r="D732" s="165"/>
      <c r="E732" s="165"/>
      <c r="F732" s="165"/>
      <c r="G732" s="165"/>
      <c r="H732" s="165"/>
      <c r="I732" s="165"/>
      <c r="J732" s="165"/>
      <c r="K732" s="165"/>
      <c r="L732" s="165"/>
      <c r="M732" s="165"/>
      <c r="N732" s="165"/>
      <c r="O732" s="165"/>
      <c r="P732" s="165"/>
      <c r="Q732" s="165"/>
      <c r="R732" s="165"/>
      <c r="S732" s="165"/>
      <c r="T732" s="165"/>
      <c r="U732" s="165"/>
      <c r="V732" s="165"/>
      <c r="W732" s="165"/>
      <c r="X732" s="165"/>
      <c r="Y732" s="165"/>
      <c r="Z732" s="165"/>
    </row>
    <row r="733" spans="1:26" ht="12.75" customHeight="1">
      <c r="A733" s="165"/>
      <c r="B733" s="165"/>
      <c r="C733" s="165"/>
      <c r="D733" s="165"/>
      <c r="E733" s="165"/>
      <c r="F733" s="165"/>
      <c r="G733" s="165"/>
      <c r="H733" s="165"/>
      <c r="I733" s="165"/>
      <c r="J733" s="165"/>
      <c r="K733" s="165"/>
      <c r="L733" s="165"/>
      <c r="M733" s="165"/>
      <c r="N733" s="165"/>
      <c r="O733" s="165"/>
      <c r="P733" s="165"/>
      <c r="Q733" s="165"/>
      <c r="R733" s="165"/>
      <c r="S733" s="165"/>
      <c r="T733" s="165"/>
      <c r="U733" s="165"/>
      <c r="V733" s="165"/>
      <c r="W733" s="165"/>
      <c r="X733" s="165"/>
      <c r="Y733" s="165"/>
      <c r="Z733" s="165"/>
    </row>
    <row r="734" spans="1:26" ht="12.75" customHeight="1">
      <c r="A734" s="165"/>
      <c r="B734" s="165"/>
      <c r="C734" s="165"/>
      <c r="D734" s="165"/>
      <c r="E734" s="165"/>
      <c r="F734" s="165"/>
      <c r="G734" s="165"/>
      <c r="H734" s="165"/>
      <c r="I734" s="165"/>
      <c r="J734" s="165"/>
      <c r="K734" s="165"/>
      <c r="L734" s="165"/>
      <c r="M734" s="165"/>
      <c r="N734" s="165"/>
      <c r="O734" s="165"/>
      <c r="P734" s="165"/>
      <c r="Q734" s="165"/>
      <c r="R734" s="165"/>
      <c r="S734" s="165"/>
      <c r="T734" s="165"/>
      <c r="U734" s="165"/>
      <c r="V734" s="165"/>
      <c r="W734" s="165"/>
      <c r="X734" s="165"/>
      <c r="Y734" s="165"/>
      <c r="Z734" s="165"/>
    </row>
    <row r="735" spans="1:26" ht="12.75" customHeight="1">
      <c r="A735" s="165"/>
      <c r="B735" s="165"/>
      <c r="C735" s="165"/>
      <c r="D735" s="165"/>
      <c r="E735" s="165"/>
      <c r="F735" s="165"/>
      <c r="G735" s="165"/>
      <c r="H735" s="165"/>
      <c r="I735" s="165"/>
      <c r="J735" s="165"/>
      <c r="K735" s="165"/>
      <c r="L735" s="165"/>
      <c r="M735" s="165"/>
      <c r="N735" s="165"/>
      <c r="O735" s="165"/>
      <c r="P735" s="165"/>
      <c r="Q735" s="165"/>
      <c r="R735" s="165"/>
      <c r="S735" s="165"/>
      <c r="T735" s="165"/>
      <c r="U735" s="165"/>
      <c r="V735" s="165"/>
      <c r="W735" s="165"/>
      <c r="X735" s="165"/>
      <c r="Y735" s="165"/>
      <c r="Z735" s="165"/>
    </row>
    <row r="736" spans="1:26" ht="12.75" customHeight="1">
      <c r="A736" s="165"/>
      <c r="B736" s="165"/>
      <c r="C736" s="165"/>
      <c r="D736" s="165"/>
      <c r="E736" s="165"/>
      <c r="F736" s="165"/>
      <c r="G736" s="165"/>
      <c r="H736" s="165"/>
      <c r="I736" s="165"/>
      <c r="J736" s="165"/>
      <c r="K736" s="165"/>
      <c r="L736" s="165"/>
      <c r="M736" s="165"/>
      <c r="N736" s="165"/>
      <c r="O736" s="165"/>
      <c r="P736" s="165"/>
      <c r="Q736" s="165"/>
      <c r="R736" s="165"/>
      <c r="S736" s="165"/>
      <c r="T736" s="165"/>
      <c r="U736" s="165"/>
      <c r="V736" s="165"/>
      <c r="W736" s="165"/>
      <c r="X736" s="165"/>
      <c r="Y736" s="165"/>
      <c r="Z736" s="165"/>
    </row>
    <row r="737" spans="1:26" ht="12.75" customHeight="1">
      <c r="A737" s="165"/>
      <c r="B737" s="165"/>
      <c r="C737" s="165"/>
      <c r="D737" s="165"/>
      <c r="E737" s="165"/>
      <c r="F737" s="165"/>
      <c r="G737" s="165"/>
      <c r="H737" s="165"/>
      <c r="I737" s="165"/>
      <c r="J737" s="165"/>
      <c r="K737" s="165"/>
      <c r="L737" s="165"/>
      <c r="M737" s="165"/>
      <c r="N737" s="165"/>
      <c r="O737" s="165"/>
      <c r="P737" s="165"/>
      <c r="Q737" s="165"/>
      <c r="R737" s="165"/>
      <c r="S737" s="165"/>
      <c r="T737" s="165"/>
      <c r="U737" s="165"/>
      <c r="V737" s="165"/>
      <c r="W737" s="165"/>
      <c r="X737" s="165"/>
      <c r="Y737" s="165"/>
      <c r="Z737" s="165"/>
    </row>
    <row r="738" spans="1:26" ht="12.75" customHeight="1">
      <c r="A738" s="165"/>
      <c r="B738" s="165"/>
      <c r="C738" s="165"/>
      <c r="D738" s="165"/>
      <c r="E738" s="165"/>
      <c r="F738" s="165"/>
      <c r="G738" s="165"/>
      <c r="H738" s="165"/>
      <c r="I738" s="165"/>
      <c r="J738" s="165"/>
      <c r="K738" s="165"/>
      <c r="L738" s="165"/>
      <c r="M738" s="165"/>
      <c r="N738" s="165"/>
      <c r="O738" s="165"/>
      <c r="P738" s="165"/>
      <c r="Q738" s="165"/>
      <c r="R738" s="165"/>
      <c r="S738" s="165"/>
      <c r="T738" s="165"/>
      <c r="U738" s="165"/>
      <c r="V738" s="165"/>
      <c r="W738" s="165"/>
      <c r="X738" s="165"/>
      <c r="Y738" s="165"/>
      <c r="Z738" s="165"/>
    </row>
    <row r="739" spans="1:26" ht="12.75" customHeight="1">
      <c r="A739" s="165"/>
      <c r="B739" s="165"/>
      <c r="C739" s="165"/>
      <c r="D739" s="165"/>
      <c r="E739" s="165"/>
      <c r="F739" s="165"/>
      <c r="G739" s="165"/>
      <c r="H739" s="165"/>
      <c r="I739" s="165"/>
      <c r="J739" s="165"/>
      <c r="K739" s="165"/>
      <c r="L739" s="165"/>
      <c r="M739" s="165"/>
      <c r="N739" s="165"/>
      <c r="O739" s="165"/>
      <c r="P739" s="165"/>
      <c r="Q739" s="165"/>
      <c r="R739" s="165"/>
      <c r="S739" s="165"/>
      <c r="T739" s="165"/>
      <c r="U739" s="165"/>
      <c r="V739" s="165"/>
      <c r="W739" s="165"/>
      <c r="X739" s="165"/>
      <c r="Y739" s="165"/>
      <c r="Z739" s="165"/>
    </row>
    <row r="740" spans="1:26" ht="12.75" customHeight="1">
      <c r="A740" s="165"/>
      <c r="B740" s="165"/>
      <c r="C740" s="165"/>
      <c r="D740" s="165"/>
      <c r="E740" s="165"/>
      <c r="F740" s="165"/>
      <c r="G740" s="165"/>
      <c r="H740" s="165"/>
      <c r="I740" s="165"/>
      <c r="J740" s="165"/>
      <c r="K740" s="165"/>
      <c r="L740" s="165"/>
      <c r="M740" s="165"/>
      <c r="N740" s="165"/>
      <c r="O740" s="165"/>
      <c r="P740" s="165"/>
      <c r="Q740" s="165"/>
      <c r="R740" s="165"/>
      <c r="S740" s="165"/>
      <c r="T740" s="165"/>
      <c r="U740" s="165"/>
      <c r="V740" s="165"/>
      <c r="W740" s="165"/>
      <c r="X740" s="165"/>
      <c r="Y740" s="165"/>
      <c r="Z740" s="165"/>
    </row>
    <row r="741" spans="1:26" ht="12.75" customHeight="1">
      <c r="A741" s="165"/>
      <c r="B741" s="165"/>
      <c r="C741" s="165"/>
      <c r="D741" s="165"/>
      <c r="E741" s="165"/>
      <c r="F741" s="165"/>
      <c r="G741" s="165"/>
      <c r="H741" s="165"/>
      <c r="I741" s="165"/>
      <c r="J741" s="165"/>
      <c r="K741" s="165"/>
      <c r="L741" s="165"/>
      <c r="M741" s="165"/>
      <c r="N741" s="165"/>
      <c r="O741" s="165"/>
      <c r="P741" s="165"/>
      <c r="Q741" s="165"/>
      <c r="R741" s="165"/>
      <c r="S741" s="165"/>
      <c r="T741" s="165"/>
      <c r="U741" s="165"/>
      <c r="V741" s="165"/>
      <c r="W741" s="165"/>
      <c r="X741" s="165"/>
      <c r="Y741" s="165"/>
      <c r="Z741" s="165"/>
    </row>
    <row r="742" spans="1:26" ht="12.75" customHeight="1">
      <c r="A742" s="165"/>
      <c r="B742" s="165"/>
      <c r="C742" s="165"/>
      <c r="D742" s="165"/>
      <c r="E742" s="165"/>
      <c r="F742" s="165"/>
      <c r="G742" s="165"/>
      <c r="H742" s="165"/>
      <c r="I742" s="165"/>
      <c r="J742" s="165"/>
      <c r="K742" s="165"/>
      <c r="L742" s="165"/>
      <c r="M742" s="165"/>
      <c r="N742" s="165"/>
      <c r="O742" s="165"/>
      <c r="P742" s="165"/>
      <c r="Q742" s="165"/>
      <c r="R742" s="165"/>
      <c r="S742" s="165"/>
      <c r="T742" s="165"/>
      <c r="U742" s="165"/>
      <c r="V742" s="165"/>
      <c r="W742" s="165"/>
      <c r="X742" s="165"/>
      <c r="Y742" s="165"/>
      <c r="Z742" s="165"/>
    </row>
    <row r="743" spans="1:26" ht="12.75" customHeight="1">
      <c r="A743" s="165"/>
      <c r="B743" s="165"/>
      <c r="C743" s="165"/>
      <c r="D743" s="165"/>
      <c r="E743" s="165"/>
      <c r="F743" s="165"/>
      <c r="G743" s="165"/>
      <c r="H743" s="165"/>
      <c r="I743" s="165"/>
      <c r="J743" s="165"/>
      <c r="K743" s="165"/>
      <c r="L743" s="165"/>
      <c r="M743" s="165"/>
      <c r="N743" s="165"/>
      <c r="O743" s="165"/>
      <c r="P743" s="165"/>
      <c r="Q743" s="165"/>
      <c r="R743" s="165"/>
      <c r="S743" s="165"/>
      <c r="T743" s="165"/>
      <c r="U743" s="165"/>
      <c r="V743" s="165"/>
      <c r="W743" s="165"/>
      <c r="X743" s="165"/>
      <c r="Y743" s="165"/>
      <c r="Z743" s="165"/>
    </row>
    <row r="744" spans="1:26" ht="12.75" customHeight="1">
      <c r="A744" s="165"/>
      <c r="B744" s="165"/>
      <c r="C744" s="165"/>
      <c r="D744" s="165"/>
      <c r="E744" s="165"/>
      <c r="F744" s="165"/>
      <c r="G744" s="165"/>
      <c r="H744" s="165"/>
      <c r="I744" s="165"/>
      <c r="J744" s="165"/>
      <c r="K744" s="165"/>
      <c r="L744" s="165"/>
      <c r="M744" s="165"/>
      <c r="N744" s="165"/>
      <c r="O744" s="165"/>
      <c r="P744" s="165"/>
      <c r="Q744" s="165"/>
      <c r="R744" s="165"/>
      <c r="S744" s="165"/>
      <c r="T744" s="165"/>
      <c r="U744" s="165"/>
      <c r="V744" s="165"/>
      <c r="W744" s="165"/>
      <c r="X744" s="165"/>
      <c r="Y744" s="165"/>
      <c r="Z744" s="165"/>
    </row>
    <row r="745" spans="1:26" ht="12.75" customHeight="1">
      <c r="A745" s="165"/>
      <c r="B745" s="165"/>
      <c r="C745" s="165"/>
      <c r="D745" s="165"/>
      <c r="E745" s="165"/>
      <c r="F745" s="165"/>
      <c r="G745" s="165"/>
      <c r="H745" s="165"/>
      <c r="I745" s="165"/>
      <c r="J745" s="165"/>
      <c r="K745" s="165"/>
      <c r="L745" s="165"/>
      <c r="M745" s="165"/>
      <c r="N745" s="165"/>
      <c r="O745" s="165"/>
      <c r="P745" s="165"/>
      <c r="Q745" s="165"/>
      <c r="R745" s="165"/>
      <c r="S745" s="165"/>
      <c r="T745" s="165"/>
      <c r="U745" s="165"/>
      <c r="V745" s="165"/>
      <c r="W745" s="165"/>
      <c r="X745" s="165"/>
      <c r="Y745" s="165"/>
      <c r="Z745" s="165"/>
    </row>
    <row r="746" spans="1:26" ht="12.75" customHeight="1">
      <c r="A746" s="165"/>
      <c r="B746" s="165"/>
      <c r="C746" s="165"/>
      <c r="D746" s="165"/>
      <c r="E746" s="165"/>
      <c r="F746" s="165"/>
      <c r="G746" s="165"/>
      <c r="H746" s="165"/>
      <c r="I746" s="165"/>
      <c r="J746" s="165"/>
      <c r="K746" s="165"/>
      <c r="L746" s="165"/>
      <c r="M746" s="165"/>
      <c r="N746" s="165"/>
      <c r="O746" s="165"/>
      <c r="P746" s="165"/>
      <c r="Q746" s="165"/>
      <c r="R746" s="165"/>
      <c r="S746" s="165"/>
      <c r="T746" s="165"/>
      <c r="U746" s="165"/>
      <c r="V746" s="165"/>
      <c r="W746" s="165"/>
      <c r="X746" s="165"/>
      <c r="Y746" s="165"/>
      <c r="Z746" s="165"/>
    </row>
    <row r="747" spans="1:26" ht="12.75" customHeight="1">
      <c r="A747" s="165"/>
      <c r="B747" s="165"/>
      <c r="C747" s="165"/>
      <c r="D747" s="165"/>
      <c r="E747" s="165"/>
      <c r="F747" s="165"/>
      <c r="G747" s="165"/>
      <c r="H747" s="165"/>
      <c r="I747" s="165"/>
      <c r="J747" s="165"/>
      <c r="K747" s="165"/>
      <c r="L747" s="165"/>
      <c r="M747" s="165"/>
      <c r="N747" s="165"/>
      <c r="O747" s="165"/>
      <c r="P747" s="165"/>
      <c r="Q747" s="165"/>
      <c r="R747" s="165"/>
      <c r="S747" s="165"/>
      <c r="T747" s="165"/>
      <c r="U747" s="165"/>
      <c r="V747" s="165"/>
      <c r="W747" s="165"/>
      <c r="X747" s="165"/>
      <c r="Y747" s="165"/>
      <c r="Z747" s="165"/>
    </row>
    <row r="748" spans="1:26" ht="12.75" customHeight="1">
      <c r="A748" s="165"/>
      <c r="B748" s="165"/>
      <c r="C748" s="165"/>
      <c r="D748" s="165"/>
      <c r="E748" s="165"/>
      <c r="F748" s="165"/>
      <c r="G748" s="165"/>
      <c r="H748" s="165"/>
      <c r="I748" s="165"/>
      <c r="J748" s="165"/>
      <c r="K748" s="165"/>
      <c r="L748" s="165"/>
      <c r="M748" s="165"/>
      <c r="N748" s="165"/>
      <c r="O748" s="165"/>
      <c r="P748" s="165"/>
      <c r="Q748" s="165"/>
      <c r="R748" s="165"/>
      <c r="S748" s="165"/>
      <c r="T748" s="165"/>
      <c r="U748" s="165"/>
      <c r="V748" s="165"/>
      <c r="W748" s="165"/>
      <c r="X748" s="165"/>
      <c r="Y748" s="165"/>
      <c r="Z748" s="165"/>
    </row>
    <row r="749" spans="1:26" ht="12.75" customHeight="1">
      <c r="A749" s="165"/>
      <c r="B749" s="165"/>
      <c r="C749" s="165"/>
      <c r="D749" s="165"/>
      <c r="E749" s="165"/>
      <c r="F749" s="165"/>
      <c r="G749" s="165"/>
      <c r="H749" s="165"/>
      <c r="I749" s="165"/>
      <c r="J749" s="165"/>
      <c r="K749" s="165"/>
      <c r="L749" s="165"/>
      <c r="M749" s="165"/>
      <c r="N749" s="165"/>
      <c r="O749" s="165"/>
      <c r="P749" s="165"/>
      <c r="Q749" s="165"/>
      <c r="R749" s="165"/>
      <c r="S749" s="165"/>
      <c r="T749" s="165"/>
      <c r="U749" s="165"/>
      <c r="V749" s="165"/>
      <c r="W749" s="165"/>
      <c r="X749" s="165"/>
      <c r="Y749" s="165"/>
      <c r="Z749" s="165"/>
    </row>
    <row r="750" spans="1:26" ht="12.75" customHeight="1">
      <c r="A750" s="165"/>
      <c r="B750" s="165"/>
      <c r="C750" s="165"/>
      <c r="D750" s="165"/>
      <c r="E750" s="165"/>
      <c r="F750" s="165"/>
      <c r="G750" s="165"/>
      <c r="H750" s="165"/>
      <c r="I750" s="165"/>
      <c r="J750" s="165"/>
      <c r="K750" s="165"/>
      <c r="L750" s="165"/>
      <c r="M750" s="165"/>
      <c r="N750" s="165"/>
      <c r="O750" s="165"/>
      <c r="P750" s="165"/>
      <c r="Q750" s="165"/>
      <c r="R750" s="165"/>
      <c r="S750" s="165"/>
      <c r="T750" s="165"/>
      <c r="U750" s="165"/>
      <c r="V750" s="165"/>
      <c r="W750" s="165"/>
      <c r="X750" s="165"/>
      <c r="Y750" s="165"/>
      <c r="Z750" s="165"/>
    </row>
    <row r="751" spans="1:26" ht="12.75" customHeight="1">
      <c r="A751" s="165"/>
      <c r="B751" s="165"/>
      <c r="C751" s="165"/>
      <c r="D751" s="165"/>
      <c r="E751" s="165"/>
      <c r="F751" s="165"/>
      <c r="G751" s="165"/>
      <c r="H751" s="165"/>
      <c r="I751" s="165"/>
      <c r="J751" s="165"/>
      <c r="K751" s="165"/>
      <c r="L751" s="165"/>
      <c r="M751" s="165"/>
      <c r="N751" s="165"/>
      <c r="O751" s="165"/>
      <c r="P751" s="165"/>
      <c r="Q751" s="165"/>
      <c r="R751" s="165"/>
      <c r="S751" s="165"/>
      <c r="T751" s="165"/>
      <c r="U751" s="165"/>
      <c r="V751" s="165"/>
      <c r="W751" s="165"/>
      <c r="X751" s="165"/>
      <c r="Y751" s="165"/>
      <c r="Z751" s="165"/>
    </row>
    <row r="752" spans="1:26" ht="12.75" customHeight="1">
      <c r="A752" s="165"/>
      <c r="B752" s="165"/>
      <c r="C752" s="165"/>
      <c r="D752" s="165"/>
      <c r="E752" s="165"/>
      <c r="F752" s="165"/>
      <c r="G752" s="165"/>
      <c r="H752" s="165"/>
      <c r="I752" s="165"/>
      <c r="J752" s="165"/>
      <c r="K752" s="165"/>
      <c r="L752" s="165"/>
      <c r="M752" s="165"/>
      <c r="N752" s="165"/>
      <c r="O752" s="165"/>
      <c r="P752" s="165"/>
      <c r="Q752" s="165"/>
      <c r="R752" s="165"/>
      <c r="S752" s="165"/>
      <c r="T752" s="165"/>
      <c r="U752" s="165"/>
      <c r="V752" s="165"/>
      <c r="W752" s="165"/>
      <c r="X752" s="165"/>
      <c r="Y752" s="165"/>
      <c r="Z752" s="165"/>
    </row>
    <row r="753" spans="1:26" ht="12.75" customHeight="1">
      <c r="A753" s="165"/>
      <c r="B753" s="165"/>
      <c r="C753" s="165"/>
      <c r="D753" s="165"/>
      <c r="E753" s="165"/>
      <c r="F753" s="165"/>
      <c r="G753" s="165"/>
      <c r="H753" s="165"/>
      <c r="I753" s="165"/>
      <c r="J753" s="165"/>
      <c r="K753" s="165"/>
      <c r="L753" s="165"/>
      <c r="M753" s="165"/>
      <c r="N753" s="165"/>
      <c r="O753" s="165"/>
      <c r="P753" s="165"/>
      <c r="Q753" s="165"/>
      <c r="R753" s="165"/>
      <c r="S753" s="165"/>
      <c r="T753" s="165"/>
      <c r="U753" s="165"/>
      <c r="V753" s="165"/>
      <c r="W753" s="165"/>
      <c r="X753" s="165"/>
      <c r="Y753" s="165"/>
      <c r="Z753" s="165"/>
    </row>
    <row r="754" spans="1:26" ht="12.75" customHeight="1">
      <c r="A754" s="165"/>
      <c r="B754" s="165"/>
      <c r="C754" s="165"/>
      <c r="D754" s="165"/>
      <c r="E754" s="165"/>
      <c r="F754" s="165"/>
      <c r="G754" s="165"/>
      <c r="H754" s="165"/>
      <c r="I754" s="165"/>
      <c r="J754" s="165"/>
      <c r="K754" s="165"/>
      <c r="L754" s="165"/>
      <c r="M754" s="165"/>
      <c r="N754" s="165"/>
      <c r="O754" s="165"/>
      <c r="P754" s="165"/>
      <c r="Q754" s="165"/>
      <c r="R754" s="165"/>
      <c r="S754" s="165"/>
      <c r="T754" s="165"/>
      <c r="U754" s="165"/>
      <c r="V754" s="165"/>
      <c r="W754" s="165"/>
      <c r="X754" s="165"/>
      <c r="Y754" s="165"/>
      <c r="Z754" s="165"/>
    </row>
    <row r="755" spans="1:26" ht="12.75" customHeight="1">
      <c r="A755" s="165"/>
      <c r="B755" s="165"/>
      <c r="C755" s="165"/>
      <c r="D755" s="165"/>
      <c r="E755" s="165"/>
      <c r="F755" s="165"/>
      <c r="G755" s="165"/>
      <c r="H755" s="165"/>
      <c r="I755" s="165"/>
      <c r="J755" s="165"/>
      <c r="K755" s="165"/>
      <c r="L755" s="165"/>
      <c r="M755" s="165"/>
      <c r="N755" s="165"/>
      <c r="O755" s="165"/>
      <c r="P755" s="165"/>
      <c r="Q755" s="165"/>
      <c r="R755" s="165"/>
      <c r="S755" s="165"/>
      <c r="T755" s="165"/>
      <c r="U755" s="165"/>
      <c r="V755" s="165"/>
      <c r="W755" s="165"/>
      <c r="X755" s="165"/>
      <c r="Y755" s="165"/>
      <c r="Z755" s="165"/>
    </row>
    <row r="756" spans="1:26" ht="12.75" customHeight="1">
      <c r="A756" s="165"/>
      <c r="B756" s="165"/>
      <c r="C756" s="165"/>
      <c r="D756" s="165"/>
      <c r="E756" s="165"/>
      <c r="F756" s="165"/>
      <c r="G756" s="165"/>
      <c r="H756" s="165"/>
      <c r="I756" s="165"/>
      <c r="J756" s="165"/>
      <c r="K756" s="165"/>
      <c r="L756" s="165"/>
      <c r="M756" s="165"/>
      <c r="N756" s="165"/>
      <c r="O756" s="165"/>
      <c r="P756" s="165"/>
      <c r="Q756" s="165"/>
      <c r="R756" s="165"/>
      <c r="S756" s="165"/>
      <c r="T756" s="165"/>
      <c r="U756" s="165"/>
      <c r="V756" s="165"/>
      <c r="W756" s="165"/>
      <c r="X756" s="165"/>
      <c r="Y756" s="165"/>
      <c r="Z756" s="165"/>
    </row>
    <row r="757" spans="1:26" ht="12.75" customHeight="1">
      <c r="A757" s="165"/>
      <c r="B757" s="165"/>
      <c r="C757" s="165"/>
      <c r="D757" s="165"/>
      <c r="E757" s="165"/>
      <c r="F757" s="165"/>
      <c r="G757" s="165"/>
      <c r="H757" s="165"/>
      <c r="I757" s="165"/>
      <c r="J757" s="165"/>
      <c r="K757" s="165"/>
      <c r="L757" s="165"/>
      <c r="M757" s="165"/>
      <c r="N757" s="165"/>
      <c r="O757" s="165"/>
      <c r="P757" s="165"/>
      <c r="Q757" s="165"/>
      <c r="R757" s="165"/>
      <c r="S757" s="165"/>
      <c r="T757" s="165"/>
      <c r="U757" s="165"/>
      <c r="V757" s="165"/>
      <c r="W757" s="165"/>
      <c r="X757" s="165"/>
      <c r="Y757" s="165"/>
      <c r="Z757" s="165"/>
    </row>
    <row r="758" spans="1:26" ht="12.75" customHeight="1">
      <c r="A758" s="165"/>
      <c r="B758" s="165"/>
      <c r="C758" s="165"/>
      <c r="D758" s="165"/>
      <c r="E758" s="165"/>
      <c r="F758" s="165"/>
      <c r="G758" s="165"/>
      <c r="H758" s="165"/>
      <c r="I758" s="165"/>
      <c r="J758" s="165"/>
      <c r="K758" s="165"/>
      <c r="L758" s="165"/>
      <c r="M758" s="165"/>
      <c r="N758" s="165"/>
      <c r="O758" s="165"/>
      <c r="P758" s="165"/>
      <c r="Q758" s="165"/>
      <c r="R758" s="165"/>
      <c r="S758" s="165"/>
      <c r="T758" s="165"/>
      <c r="U758" s="165"/>
      <c r="V758" s="165"/>
      <c r="W758" s="165"/>
      <c r="X758" s="165"/>
      <c r="Y758" s="165"/>
      <c r="Z758" s="165"/>
    </row>
    <row r="759" spans="1:26" ht="12.75" customHeight="1">
      <c r="A759" s="165"/>
      <c r="B759" s="165"/>
      <c r="C759" s="165"/>
      <c r="D759" s="165"/>
      <c r="E759" s="165"/>
      <c r="F759" s="165"/>
      <c r="G759" s="165"/>
      <c r="H759" s="165"/>
      <c r="I759" s="165"/>
      <c r="J759" s="165"/>
      <c r="K759" s="165"/>
      <c r="L759" s="165"/>
      <c r="M759" s="165"/>
      <c r="N759" s="165"/>
      <c r="O759" s="165"/>
      <c r="P759" s="165"/>
      <c r="Q759" s="165"/>
      <c r="R759" s="165"/>
      <c r="S759" s="165"/>
      <c r="T759" s="165"/>
      <c r="U759" s="165"/>
      <c r="V759" s="165"/>
      <c r="W759" s="165"/>
      <c r="X759" s="165"/>
      <c r="Y759" s="165"/>
      <c r="Z759" s="165"/>
    </row>
    <row r="760" spans="1:26" ht="12.75" customHeight="1">
      <c r="A760" s="165"/>
      <c r="B760" s="165"/>
      <c r="C760" s="165"/>
      <c r="D760" s="165"/>
      <c r="E760" s="165"/>
      <c r="F760" s="165"/>
      <c r="G760" s="165"/>
      <c r="H760" s="165"/>
      <c r="I760" s="165"/>
      <c r="J760" s="165"/>
      <c r="K760" s="165"/>
      <c r="L760" s="165"/>
      <c r="M760" s="165"/>
      <c r="N760" s="165"/>
      <c r="O760" s="165"/>
      <c r="P760" s="165"/>
      <c r="Q760" s="165"/>
      <c r="R760" s="165"/>
      <c r="S760" s="165"/>
      <c r="T760" s="165"/>
      <c r="U760" s="165"/>
      <c r="V760" s="165"/>
      <c r="W760" s="165"/>
      <c r="X760" s="165"/>
      <c r="Y760" s="165"/>
      <c r="Z760" s="165"/>
    </row>
    <row r="761" spans="1:26" ht="12.75" customHeight="1">
      <c r="A761" s="165"/>
      <c r="B761" s="165"/>
      <c r="C761" s="165"/>
      <c r="D761" s="165"/>
      <c r="E761" s="165"/>
      <c r="F761" s="165"/>
      <c r="G761" s="165"/>
      <c r="H761" s="165"/>
      <c r="I761" s="165"/>
      <c r="J761" s="165"/>
      <c r="K761" s="165"/>
      <c r="L761" s="165"/>
      <c r="M761" s="165"/>
      <c r="N761" s="165"/>
      <c r="O761" s="165"/>
      <c r="P761" s="165"/>
      <c r="Q761" s="165"/>
      <c r="R761" s="165"/>
      <c r="S761" s="165"/>
      <c r="T761" s="165"/>
      <c r="U761" s="165"/>
      <c r="V761" s="165"/>
      <c r="W761" s="165"/>
      <c r="X761" s="165"/>
      <c r="Y761" s="165"/>
      <c r="Z761" s="165"/>
    </row>
    <row r="762" spans="1:26" ht="12.75" customHeight="1">
      <c r="A762" s="165"/>
      <c r="B762" s="165"/>
      <c r="C762" s="165"/>
      <c r="D762" s="165"/>
      <c r="E762" s="165"/>
      <c r="F762" s="165"/>
      <c r="G762" s="165"/>
      <c r="H762" s="165"/>
      <c r="I762" s="165"/>
      <c r="J762" s="165"/>
      <c r="K762" s="165"/>
      <c r="L762" s="165"/>
      <c r="M762" s="165"/>
      <c r="N762" s="165"/>
      <c r="O762" s="165"/>
      <c r="P762" s="165"/>
      <c r="Q762" s="165"/>
      <c r="R762" s="165"/>
      <c r="S762" s="165"/>
      <c r="T762" s="165"/>
      <c r="U762" s="165"/>
      <c r="V762" s="165"/>
      <c r="W762" s="165"/>
      <c r="X762" s="165"/>
      <c r="Y762" s="165"/>
      <c r="Z762" s="165"/>
    </row>
    <row r="763" spans="1:26" ht="12.75" customHeight="1">
      <c r="A763" s="165"/>
      <c r="B763" s="165"/>
      <c r="C763" s="165"/>
      <c r="D763" s="165"/>
      <c r="E763" s="165"/>
      <c r="F763" s="165"/>
      <c r="G763" s="165"/>
      <c r="H763" s="165"/>
      <c r="I763" s="165"/>
      <c r="J763" s="165"/>
      <c r="K763" s="165"/>
      <c r="L763" s="165"/>
      <c r="M763" s="165"/>
      <c r="N763" s="165"/>
      <c r="O763" s="165"/>
      <c r="P763" s="165"/>
      <c r="Q763" s="165"/>
      <c r="R763" s="165"/>
      <c r="S763" s="165"/>
      <c r="T763" s="165"/>
      <c r="U763" s="165"/>
      <c r="V763" s="165"/>
      <c r="W763" s="165"/>
      <c r="X763" s="165"/>
      <c r="Y763" s="165"/>
      <c r="Z763" s="165"/>
    </row>
    <row r="764" spans="1:26" ht="12.75" customHeight="1">
      <c r="A764" s="165"/>
      <c r="B764" s="165"/>
      <c r="C764" s="165"/>
      <c r="D764" s="165"/>
      <c r="E764" s="165"/>
      <c r="F764" s="165"/>
      <c r="G764" s="165"/>
      <c r="H764" s="165"/>
      <c r="I764" s="165"/>
      <c r="J764" s="165"/>
      <c r="K764" s="165"/>
      <c r="L764" s="165"/>
      <c r="M764" s="165"/>
      <c r="N764" s="165"/>
      <c r="O764" s="165"/>
      <c r="P764" s="165"/>
      <c r="Q764" s="165"/>
      <c r="R764" s="165"/>
      <c r="S764" s="165"/>
      <c r="T764" s="165"/>
      <c r="U764" s="165"/>
      <c r="V764" s="165"/>
      <c r="W764" s="165"/>
      <c r="X764" s="165"/>
      <c r="Y764" s="165"/>
      <c r="Z764" s="165"/>
    </row>
    <row r="765" spans="1:26" ht="12.75" customHeight="1">
      <c r="A765" s="165"/>
      <c r="B765" s="165"/>
      <c r="C765" s="165"/>
      <c r="D765" s="165"/>
      <c r="E765" s="165"/>
      <c r="F765" s="165"/>
      <c r="G765" s="165"/>
      <c r="H765" s="165"/>
      <c r="I765" s="165"/>
      <c r="J765" s="165"/>
      <c r="K765" s="165"/>
      <c r="L765" s="165"/>
      <c r="M765" s="165"/>
      <c r="N765" s="165"/>
      <c r="O765" s="165"/>
      <c r="P765" s="165"/>
      <c r="Q765" s="165"/>
      <c r="R765" s="165"/>
      <c r="S765" s="165"/>
      <c r="T765" s="165"/>
      <c r="U765" s="165"/>
      <c r="V765" s="165"/>
      <c r="W765" s="165"/>
      <c r="X765" s="165"/>
      <c r="Y765" s="165"/>
      <c r="Z765" s="165"/>
    </row>
    <row r="766" spans="1:26" ht="12.75" customHeight="1">
      <c r="A766" s="165"/>
      <c r="B766" s="165"/>
      <c r="C766" s="165"/>
      <c r="D766" s="165"/>
      <c r="E766" s="165"/>
      <c r="F766" s="165"/>
      <c r="G766" s="165"/>
      <c r="H766" s="165"/>
      <c r="I766" s="165"/>
      <c r="J766" s="165"/>
      <c r="K766" s="165"/>
      <c r="L766" s="165"/>
      <c r="M766" s="165"/>
      <c r="N766" s="165"/>
      <c r="O766" s="165"/>
      <c r="P766" s="165"/>
      <c r="Q766" s="165"/>
      <c r="R766" s="165"/>
      <c r="S766" s="165"/>
      <c r="T766" s="165"/>
      <c r="U766" s="165"/>
      <c r="V766" s="165"/>
      <c r="W766" s="165"/>
      <c r="X766" s="165"/>
      <c r="Y766" s="165"/>
      <c r="Z766" s="165"/>
    </row>
    <row r="767" spans="1:26" ht="12.75" customHeight="1">
      <c r="A767" s="165"/>
      <c r="B767" s="165"/>
      <c r="C767" s="165"/>
      <c r="D767" s="165"/>
      <c r="E767" s="165"/>
      <c r="F767" s="165"/>
      <c r="G767" s="165"/>
      <c r="H767" s="165"/>
      <c r="I767" s="165"/>
      <c r="J767" s="165"/>
      <c r="K767" s="165"/>
      <c r="L767" s="165"/>
      <c r="M767" s="165"/>
      <c r="N767" s="165"/>
      <c r="O767" s="165"/>
      <c r="P767" s="165"/>
      <c r="Q767" s="165"/>
      <c r="R767" s="165"/>
      <c r="S767" s="165"/>
      <c r="T767" s="165"/>
      <c r="U767" s="165"/>
      <c r="V767" s="165"/>
      <c r="W767" s="165"/>
      <c r="X767" s="165"/>
      <c r="Y767" s="165"/>
      <c r="Z767" s="165"/>
    </row>
    <row r="768" spans="1:26" ht="12.75" customHeight="1">
      <c r="A768" s="165"/>
      <c r="B768" s="165"/>
      <c r="C768" s="165"/>
      <c r="D768" s="165"/>
      <c r="E768" s="165"/>
      <c r="F768" s="165"/>
      <c r="G768" s="165"/>
      <c r="H768" s="165"/>
      <c r="I768" s="165"/>
      <c r="J768" s="165"/>
      <c r="K768" s="165"/>
      <c r="L768" s="165"/>
      <c r="M768" s="165"/>
      <c r="N768" s="165"/>
      <c r="O768" s="165"/>
      <c r="P768" s="165"/>
      <c r="Q768" s="165"/>
      <c r="R768" s="165"/>
      <c r="S768" s="165"/>
      <c r="T768" s="165"/>
      <c r="U768" s="165"/>
      <c r="V768" s="165"/>
      <c r="W768" s="165"/>
      <c r="X768" s="165"/>
      <c r="Y768" s="165"/>
      <c r="Z768" s="165"/>
    </row>
    <row r="769" spans="1:26" ht="12.75" customHeight="1">
      <c r="A769" s="165"/>
      <c r="B769" s="165"/>
      <c r="C769" s="165"/>
      <c r="D769" s="165"/>
      <c r="E769" s="165"/>
      <c r="F769" s="165"/>
      <c r="G769" s="165"/>
      <c r="H769" s="165"/>
      <c r="I769" s="165"/>
      <c r="J769" s="165"/>
      <c r="K769" s="165"/>
      <c r="L769" s="165"/>
      <c r="M769" s="165"/>
      <c r="N769" s="165"/>
      <c r="O769" s="165"/>
      <c r="P769" s="165"/>
      <c r="Q769" s="165"/>
      <c r="R769" s="165"/>
      <c r="S769" s="165"/>
      <c r="T769" s="165"/>
      <c r="U769" s="165"/>
      <c r="V769" s="165"/>
      <c r="W769" s="165"/>
      <c r="X769" s="165"/>
      <c r="Y769" s="165"/>
      <c r="Z769" s="165"/>
    </row>
    <row r="770" spans="1:26" ht="12.75" customHeight="1">
      <c r="A770" s="165"/>
      <c r="B770" s="165"/>
      <c r="C770" s="165"/>
      <c r="D770" s="165"/>
      <c r="E770" s="165"/>
      <c r="F770" s="165"/>
      <c r="G770" s="165"/>
      <c r="H770" s="165"/>
      <c r="I770" s="165"/>
      <c r="J770" s="165"/>
      <c r="K770" s="165"/>
      <c r="L770" s="165"/>
      <c r="M770" s="165"/>
      <c r="N770" s="165"/>
      <c r="O770" s="165"/>
      <c r="P770" s="165"/>
      <c r="Q770" s="165"/>
      <c r="R770" s="165"/>
      <c r="S770" s="165"/>
      <c r="T770" s="165"/>
      <c r="U770" s="165"/>
      <c r="V770" s="165"/>
      <c r="W770" s="165"/>
      <c r="X770" s="165"/>
      <c r="Y770" s="165"/>
      <c r="Z770" s="165"/>
    </row>
    <row r="771" spans="1:26" ht="12.75" customHeight="1">
      <c r="A771" s="165"/>
      <c r="B771" s="165"/>
      <c r="C771" s="165"/>
      <c r="D771" s="165"/>
      <c r="E771" s="165"/>
      <c r="F771" s="165"/>
      <c r="G771" s="165"/>
      <c r="H771" s="165"/>
      <c r="I771" s="165"/>
      <c r="J771" s="165"/>
      <c r="K771" s="165"/>
      <c r="L771" s="165"/>
      <c r="M771" s="165"/>
      <c r="N771" s="165"/>
      <c r="O771" s="165"/>
      <c r="P771" s="165"/>
      <c r="Q771" s="165"/>
      <c r="R771" s="165"/>
      <c r="S771" s="165"/>
      <c r="T771" s="165"/>
      <c r="U771" s="165"/>
      <c r="V771" s="165"/>
      <c r="W771" s="165"/>
      <c r="X771" s="165"/>
      <c r="Y771" s="165"/>
      <c r="Z771" s="165"/>
    </row>
    <row r="772" spans="1:26" ht="12.75" customHeight="1">
      <c r="A772" s="165"/>
      <c r="B772" s="165"/>
      <c r="C772" s="165"/>
      <c r="D772" s="165"/>
      <c r="E772" s="165"/>
      <c r="F772" s="165"/>
      <c r="G772" s="165"/>
      <c r="H772" s="165"/>
      <c r="I772" s="165"/>
      <c r="J772" s="165"/>
      <c r="K772" s="165"/>
      <c r="L772" s="165"/>
      <c r="M772" s="165"/>
      <c r="N772" s="165"/>
      <c r="O772" s="165"/>
      <c r="P772" s="165"/>
      <c r="Q772" s="165"/>
      <c r="R772" s="165"/>
      <c r="S772" s="165"/>
      <c r="T772" s="165"/>
      <c r="U772" s="165"/>
      <c r="V772" s="165"/>
      <c r="W772" s="165"/>
      <c r="X772" s="165"/>
      <c r="Y772" s="165"/>
      <c r="Z772" s="165"/>
    </row>
    <row r="773" spans="1:26" ht="12.75" customHeight="1">
      <c r="A773" s="165"/>
      <c r="B773" s="165"/>
      <c r="C773" s="165"/>
      <c r="D773" s="165"/>
      <c r="E773" s="165"/>
      <c r="F773" s="165"/>
      <c r="G773" s="165"/>
      <c r="H773" s="165"/>
      <c r="I773" s="165"/>
      <c r="J773" s="165"/>
      <c r="K773" s="165"/>
      <c r="L773" s="165"/>
      <c r="M773" s="165"/>
      <c r="N773" s="165"/>
      <c r="O773" s="165"/>
      <c r="P773" s="165"/>
      <c r="Q773" s="165"/>
      <c r="R773" s="165"/>
      <c r="S773" s="165"/>
      <c r="T773" s="165"/>
      <c r="U773" s="165"/>
      <c r="V773" s="165"/>
      <c r="W773" s="165"/>
      <c r="X773" s="165"/>
      <c r="Y773" s="165"/>
      <c r="Z773" s="165"/>
    </row>
    <row r="774" spans="1:26" ht="12.75" customHeight="1">
      <c r="A774" s="165"/>
      <c r="B774" s="165"/>
      <c r="C774" s="165"/>
      <c r="D774" s="165"/>
      <c r="E774" s="165"/>
      <c r="F774" s="165"/>
      <c r="G774" s="165"/>
      <c r="H774" s="165"/>
      <c r="I774" s="165"/>
      <c r="J774" s="165"/>
      <c r="K774" s="165"/>
      <c r="L774" s="165"/>
      <c r="M774" s="165"/>
      <c r="N774" s="165"/>
      <c r="O774" s="165"/>
      <c r="P774" s="165"/>
      <c r="Q774" s="165"/>
      <c r="R774" s="165"/>
      <c r="S774" s="165"/>
      <c r="T774" s="165"/>
      <c r="U774" s="165"/>
      <c r="V774" s="165"/>
      <c r="W774" s="165"/>
      <c r="X774" s="165"/>
      <c r="Y774" s="165"/>
      <c r="Z774" s="165"/>
    </row>
    <row r="775" spans="1:26" ht="12.75" customHeight="1">
      <c r="A775" s="165"/>
      <c r="B775" s="165"/>
      <c r="C775" s="165"/>
      <c r="D775" s="165"/>
      <c r="E775" s="165"/>
      <c r="F775" s="165"/>
      <c r="G775" s="165"/>
      <c r="H775" s="165"/>
      <c r="I775" s="165"/>
      <c r="J775" s="165"/>
      <c r="K775" s="165"/>
      <c r="L775" s="165"/>
      <c r="M775" s="165"/>
      <c r="N775" s="165"/>
      <c r="O775" s="165"/>
      <c r="P775" s="165"/>
      <c r="Q775" s="165"/>
      <c r="R775" s="165"/>
      <c r="S775" s="165"/>
      <c r="T775" s="165"/>
      <c r="U775" s="165"/>
      <c r="V775" s="165"/>
      <c r="W775" s="165"/>
      <c r="X775" s="165"/>
      <c r="Y775" s="165"/>
      <c r="Z775" s="165"/>
    </row>
    <row r="776" spans="1:26" ht="12.75" customHeight="1">
      <c r="A776" s="165"/>
      <c r="B776" s="165"/>
      <c r="C776" s="165"/>
      <c r="D776" s="165"/>
      <c r="E776" s="165"/>
      <c r="F776" s="165"/>
      <c r="G776" s="165"/>
      <c r="H776" s="165"/>
      <c r="I776" s="165"/>
      <c r="J776" s="165"/>
      <c r="K776" s="165"/>
      <c r="L776" s="165"/>
      <c r="M776" s="165"/>
      <c r="N776" s="165"/>
      <c r="O776" s="165"/>
      <c r="P776" s="165"/>
      <c r="Q776" s="165"/>
      <c r="R776" s="165"/>
      <c r="S776" s="165"/>
      <c r="T776" s="165"/>
      <c r="U776" s="165"/>
      <c r="V776" s="165"/>
      <c r="W776" s="165"/>
      <c r="X776" s="165"/>
      <c r="Y776" s="165"/>
      <c r="Z776" s="165"/>
    </row>
    <row r="777" spans="1:26" ht="12.75" customHeight="1">
      <c r="A777" s="165"/>
      <c r="B777" s="165"/>
      <c r="C777" s="165"/>
      <c r="D777" s="165"/>
      <c r="E777" s="165"/>
      <c r="F777" s="165"/>
      <c r="G777" s="165"/>
      <c r="H777" s="165"/>
      <c r="I777" s="165"/>
      <c r="J777" s="165"/>
      <c r="K777" s="165"/>
      <c r="L777" s="165"/>
      <c r="M777" s="165"/>
      <c r="N777" s="165"/>
      <c r="O777" s="165"/>
      <c r="P777" s="165"/>
      <c r="Q777" s="165"/>
      <c r="R777" s="165"/>
      <c r="S777" s="165"/>
      <c r="T777" s="165"/>
      <c r="U777" s="165"/>
      <c r="V777" s="165"/>
      <c r="W777" s="165"/>
      <c r="X777" s="165"/>
      <c r="Y777" s="165"/>
      <c r="Z777" s="165"/>
    </row>
    <row r="778" spans="1:26" ht="12.75" customHeight="1">
      <c r="A778" s="165"/>
      <c r="B778" s="165"/>
      <c r="C778" s="165"/>
      <c r="D778" s="165"/>
      <c r="E778" s="165"/>
      <c r="F778" s="165"/>
      <c r="G778" s="165"/>
      <c r="H778" s="165"/>
      <c r="I778" s="165"/>
      <c r="J778" s="165"/>
      <c r="K778" s="165"/>
      <c r="L778" s="165"/>
      <c r="M778" s="165"/>
      <c r="N778" s="165"/>
      <c r="O778" s="165"/>
      <c r="P778" s="165"/>
      <c r="Q778" s="165"/>
      <c r="R778" s="165"/>
      <c r="S778" s="165"/>
      <c r="T778" s="165"/>
      <c r="U778" s="165"/>
      <c r="V778" s="165"/>
      <c r="W778" s="165"/>
      <c r="X778" s="165"/>
      <c r="Y778" s="165"/>
      <c r="Z778" s="165"/>
    </row>
    <row r="779" spans="1:26" ht="12.75" customHeight="1">
      <c r="A779" s="165"/>
      <c r="B779" s="165"/>
      <c r="C779" s="165"/>
      <c r="D779" s="165"/>
      <c r="E779" s="165"/>
      <c r="F779" s="165"/>
      <c r="G779" s="165"/>
      <c r="H779" s="165"/>
      <c r="I779" s="165"/>
      <c r="J779" s="165"/>
      <c r="K779" s="165"/>
      <c r="L779" s="165"/>
      <c r="M779" s="165"/>
      <c r="N779" s="165"/>
      <c r="O779" s="165"/>
      <c r="P779" s="165"/>
      <c r="Q779" s="165"/>
      <c r="R779" s="165"/>
      <c r="S779" s="165"/>
      <c r="T779" s="165"/>
      <c r="U779" s="165"/>
      <c r="V779" s="165"/>
      <c r="W779" s="165"/>
      <c r="X779" s="165"/>
      <c r="Y779" s="165"/>
      <c r="Z779" s="165"/>
    </row>
    <row r="780" spans="1:26" ht="12.75" customHeight="1">
      <c r="A780" s="165"/>
      <c r="B780" s="165"/>
      <c r="C780" s="165"/>
      <c r="D780" s="165"/>
      <c r="E780" s="165"/>
      <c r="F780" s="165"/>
      <c r="G780" s="165"/>
      <c r="H780" s="165"/>
      <c r="I780" s="165"/>
      <c r="J780" s="165"/>
      <c r="K780" s="165"/>
      <c r="L780" s="165"/>
      <c r="M780" s="165"/>
      <c r="N780" s="165"/>
      <c r="O780" s="165"/>
      <c r="P780" s="165"/>
      <c r="Q780" s="165"/>
      <c r="R780" s="165"/>
      <c r="S780" s="165"/>
      <c r="T780" s="165"/>
      <c r="U780" s="165"/>
      <c r="V780" s="165"/>
      <c r="W780" s="165"/>
      <c r="X780" s="165"/>
      <c r="Y780" s="165"/>
      <c r="Z780" s="165"/>
    </row>
    <row r="781" spans="1:26" ht="12.75" customHeight="1">
      <c r="A781" s="165"/>
      <c r="B781" s="165"/>
      <c r="C781" s="165"/>
      <c r="D781" s="165"/>
      <c r="E781" s="165"/>
      <c r="F781" s="165"/>
      <c r="G781" s="165"/>
      <c r="H781" s="165"/>
      <c r="I781" s="165"/>
      <c r="J781" s="165"/>
      <c r="K781" s="165"/>
      <c r="L781" s="165"/>
      <c r="M781" s="165"/>
      <c r="N781" s="165"/>
      <c r="O781" s="165"/>
      <c r="P781" s="165"/>
      <c r="Q781" s="165"/>
      <c r="R781" s="165"/>
      <c r="S781" s="165"/>
      <c r="T781" s="165"/>
      <c r="U781" s="165"/>
      <c r="V781" s="165"/>
      <c r="W781" s="165"/>
      <c r="X781" s="165"/>
      <c r="Y781" s="165"/>
      <c r="Z781" s="165"/>
    </row>
    <row r="782" spans="1:26" ht="12.75" customHeight="1">
      <c r="A782" s="165"/>
      <c r="B782" s="165"/>
      <c r="C782" s="165"/>
      <c r="D782" s="165"/>
      <c r="E782" s="165"/>
      <c r="F782" s="165"/>
      <c r="G782" s="165"/>
      <c r="H782" s="165"/>
      <c r="I782" s="165"/>
      <c r="J782" s="165"/>
      <c r="K782" s="165"/>
      <c r="L782" s="165"/>
      <c r="M782" s="165"/>
      <c r="N782" s="165"/>
      <c r="O782" s="165"/>
      <c r="P782" s="165"/>
      <c r="Q782" s="165"/>
      <c r="R782" s="165"/>
      <c r="S782" s="165"/>
      <c r="T782" s="165"/>
      <c r="U782" s="165"/>
      <c r="V782" s="165"/>
      <c r="W782" s="165"/>
      <c r="X782" s="165"/>
      <c r="Y782" s="165"/>
      <c r="Z782" s="165"/>
    </row>
    <row r="783" spans="1:26" ht="12.75" customHeight="1">
      <c r="A783" s="165"/>
      <c r="B783" s="165"/>
      <c r="C783" s="165"/>
      <c r="D783" s="165"/>
      <c r="E783" s="165"/>
      <c r="F783" s="165"/>
      <c r="G783" s="165"/>
      <c r="H783" s="165"/>
      <c r="I783" s="165"/>
      <c r="J783" s="165"/>
      <c r="K783" s="165"/>
      <c r="L783" s="165"/>
      <c r="M783" s="165"/>
      <c r="N783" s="165"/>
      <c r="O783" s="165"/>
      <c r="P783" s="165"/>
      <c r="Q783" s="165"/>
      <c r="R783" s="165"/>
      <c r="S783" s="165"/>
      <c r="T783" s="165"/>
      <c r="U783" s="165"/>
      <c r="V783" s="165"/>
      <c r="W783" s="165"/>
      <c r="X783" s="165"/>
      <c r="Y783" s="165"/>
      <c r="Z783" s="165"/>
    </row>
    <row r="784" spans="1:26" ht="12.75" customHeight="1">
      <c r="A784" s="165"/>
      <c r="B784" s="165"/>
      <c r="C784" s="165"/>
      <c r="D784" s="165"/>
      <c r="E784" s="165"/>
      <c r="F784" s="165"/>
      <c r="G784" s="165"/>
      <c r="H784" s="165"/>
      <c r="I784" s="165"/>
      <c r="J784" s="165"/>
      <c r="K784" s="165"/>
      <c r="L784" s="165"/>
      <c r="M784" s="165"/>
      <c r="N784" s="165"/>
      <c r="O784" s="165"/>
      <c r="P784" s="165"/>
      <c r="Q784" s="165"/>
      <c r="R784" s="165"/>
      <c r="S784" s="165"/>
      <c r="T784" s="165"/>
      <c r="U784" s="165"/>
      <c r="V784" s="165"/>
      <c r="W784" s="165"/>
      <c r="X784" s="165"/>
      <c r="Y784" s="165"/>
      <c r="Z784" s="165"/>
    </row>
    <row r="785" spans="1:26" ht="12.75" customHeight="1">
      <c r="A785" s="165"/>
      <c r="B785" s="165"/>
      <c r="C785" s="165"/>
      <c r="D785" s="165"/>
      <c r="E785" s="165"/>
      <c r="F785" s="165"/>
      <c r="G785" s="165"/>
      <c r="H785" s="165"/>
      <c r="I785" s="165"/>
      <c r="J785" s="165"/>
      <c r="K785" s="165"/>
      <c r="L785" s="165"/>
      <c r="M785" s="165"/>
      <c r="N785" s="165"/>
      <c r="O785" s="165"/>
      <c r="P785" s="165"/>
      <c r="Q785" s="165"/>
      <c r="R785" s="165"/>
      <c r="S785" s="165"/>
      <c r="T785" s="165"/>
      <c r="U785" s="165"/>
      <c r="V785" s="165"/>
      <c r="W785" s="165"/>
      <c r="X785" s="165"/>
      <c r="Y785" s="165"/>
      <c r="Z785" s="165"/>
    </row>
    <row r="786" spans="1:26" ht="12.75" customHeight="1">
      <c r="A786" s="165"/>
      <c r="B786" s="165"/>
      <c r="C786" s="165"/>
      <c r="D786" s="165"/>
      <c r="E786" s="165"/>
      <c r="F786" s="165"/>
      <c r="G786" s="165"/>
      <c r="H786" s="165"/>
      <c r="I786" s="165"/>
      <c r="J786" s="165"/>
      <c r="K786" s="165"/>
      <c r="L786" s="165"/>
      <c r="M786" s="165"/>
      <c r="N786" s="165"/>
      <c r="O786" s="165"/>
      <c r="P786" s="165"/>
      <c r="Q786" s="165"/>
      <c r="R786" s="165"/>
      <c r="S786" s="165"/>
      <c r="T786" s="165"/>
      <c r="U786" s="165"/>
      <c r="V786" s="165"/>
      <c r="W786" s="165"/>
      <c r="X786" s="165"/>
      <c r="Y786" s="165"/>
      <c r="Z786" s="165"/>
    </row>
    <row r="787" spans="1:26" ht="12.75" customHeight="1">
      <c r="A787" s="165"/>
      <c r="B787" s="165"/>
      <c r="C787" s="165"/>
      <c r="D787" s="165"/>
      <c r="E787" s="165"/>
      <c r="F787" s="165"/>
      <c r="G787" s="165"/>
      <c r="H787" s="165"/>
      <c r="I787" s="165"/>
      <c r="J787" s="165"/>
      <c r="K787" s="165"/>
      <c r="L787" s="165"/>
      <c r="M787" s="165"/>
      <c r="N787" s="165"/>
      <c r="O787" s="165"/>
      <c r="P787" s="165"/>
      <c r="Q787" s="165"/>
      <c r="R787" s="165"/>
      <c r="S787" s="165"/>
      <c r="T787" s="165"/>
      <c r="U787" s="165"/>
      <c r="V787" s="165"/>
      <c r="W787" s="165"/>
      <c r="X787" s="165"/>
      <c r="Y787" s="165"/>
      <c r="Z787" s="165"/>
    </row>
    <row r="788" spans="1:26" ht="12.75" customHeight="1">
      <c r="A788" s="165"/>
      <c r="B788" s="165"/>
      <c r="C788" s="165"/>
      <c r="D788" s="165"/>
      <c r="E788" s="165"/>
      <c r="F788" s="165"/>
      <c r="G788" s="165"/>
      <c r="H788" s="165"/>
      <c r="I788" s="165"/>
      <c r="J788" s="165"/>
      <c r="K788" s="165"/>
      <c r="L788" s="165"/>
      <c r="M788" s="165"/>
      <c r="N788" s="165"/>
      <c r="O788" s="165"/>
      <c r="P788" s="165"/>
      <c r="Q788" s="165"/>
      <c r="R788" s="165"/>
      <c r="S788" s="165"/>
      <c r="T788" s="165"/>
      <c r="U788" s="165"/>
      <c r="V788" s="165"/>
      <c r="W788" s="165"/>
      <c r="X788" s="165"/>
      <c r="Y788" s="165"/>
      <c r="Z788" s="165"/>
    </row>
    <row r="789" spans="1:26" ht="12.75" customHeight="1">
      <c r="A789" s="165"/>
      <c r="B789" s="165"/>
      <c r="C789" s="165"/>
      <c r="D789" s="165"/>
      <c r="E789" s="165"/>
      <c r="F789" s="165"/>
      <c r="G789" s="165"/>
      <c r="H789" s="165"/>
      <c r="I789" s="165"/>
      <c r="J789" s="165"/>
      <c r="K789" s="165"/>
      <c r="L789" s="165"/>
      <c r="M789" s="165"/>
      <c r="N789" s="165"/>
      <c r="O789" s="165"/>
      <c r="P789" s="165"/>
      <c r="Q789" s="165"/>
      <c r="R789" s="165"/>
      <c r="S789" s="165"/>
      <c r="T789" s="165"/>
      <c r="U789" s="165"/>
      <c r="V789" s="165"/>
      <c r="W789" s="165"/>
      <c r="X789" s="165"/>
      <c r="Y789" s="165"/>
      <c r="Z789" s="165"/>
    </row>
    <row r="790" spans="1:26" ht="12.75" customHeight="1">
      <c r="A790" s="165"/>
      <c r="B790" s="165"/>
      <c r="C790" s="165"/>
      <c r="D790" s="165"/>
      <c r="E790" s="165"/>
      <c r="F790" s="165"/>
      <c r="G790" s="165"/>
      <c r="H790" s="165"/>
      <c r="I790" s="165"/>
      <c r="J790" s="165"/>
      <c r="K790" s="165"/>
      <c r="L790" s="165"/>
      <c r="M790" s="165"/>
      <c r="N790" s="165"/>
      <c r="O790" s="165"/>
      <c r="P790" s="165"/>
      <c r="Q790" s="165"/>
      <c r="R790" s="165"/>
      <c r="S790" s="165"/>
      <c r="T790" s="165"/>
      <c r="U790" s="165"/>
      <c r="V790" s="165"/>
      <c r="W790" s="165"/>
      <c r="X790" s="165"/>
      <c r="Y790" s="165"/>
      <c r="Z790" s="165"/>
    </row>
    <row r="791" spans="1:26" ht="12.75" customHeight="1">
      <c r="A791" s="165"/>
      <c r="B791" s="165"/>
      <c r="C791" s="165"/>
      <c r="D791" s="165"/>
      <c r="E791" s="165"/>
      <c r="F791" s="165"/>
      <c r="G791" s="165"/>
      <c r="H791" s="165"/>
      <c r="I791" s="165"/>
      <c r="J791" s="165"/>
      <c r="K791" s="165"/>
      <c r="L791" s="165"/>
      <c r="M791" s="165"/>
      <c r="N791" s="165"/>
      <c r="O791" s="165"/>
      <c r="P791" s="165"/>
      <c r="Q791" s="165"/>
      <c r="R791" s="165"/>
      <c r="S791" s="165"/>
      <c r="T791" s="165"/>
      <c r="U791" s="165"/>
      <c r="V791" s="165"/>
      <c r="W791" s="165"/>
      <c r="X791" s="165"/>
      <c r="Y791" s="165"/>
      <c r="Z791" s="165"/>
    </row>
    <row r="792" spans="1:26" ht="12.75" customHeight="1">
      <c r="A792" s="165"/>
      <c r="B792" s="165"/>
      <c r="C792" s="165"/>
      <c r="D792" s="165"/>
      <c r="E792" s="165"/>
      <c r="F792" s="165"/>
      <c r="G792" s="165"/>
      <c r="H792" s="165"/>
      <c r="I792" s="165"/>
      <c r="J792" s="165"/>
      <c r="K792" s="165"/>
      <c r="L792" s="165"/>
      <c r="M792" s="165"/>
      <c r="N792" s="165"/>
      <c r="O792" s="165"/>
      <c r="P792" s="165"/>
      <c r="Q792" s="165"/>
      <c r="R792" s="165"/>
      <c r="S792" s="165"/>
      <c r="T792" s="165"/>
      <c r="U792" s="165"/>
      <c r="V792" s="165"/>
      <c r="W792" s="165"/>
      <c r="X792" s="165"/>
      <c r="Y792" s="165"/>
      <c r="Z792" s="165"/>
    </row>
    <row r="793" spans="1:26" ht="12.75" customHeight="1">
      <c r="A793" s="165"/>
      <c r="B793" s="165"/>
      <c r="C793" s="165"/>
      <c r="D793" s="165"/>
      <c r="E793" s="165"/>
      <c r="F793" s="165"/>
      <c r="G793" s="165"/>
      <c r="H793" s="165"/>
      <c r="I793" s="165"/>
      <c r="J793" s="165"/>
      <c r="K793" s="165"/>
      <c r="L793" s="165"/>
      <c r="M793" s="165"/>
      <c r="N793" s="165"/>
      <c r="O793" s="165"/>
      <c r="P793" s="165"/>
      <c r="Q793" s="165"/>
      <c r="R793" s="165"/>
      <c r="S793" s="165"/>
      <c r="T793" s="165"/>
      <c r="U793" s="165"/>
      <c r="V793" s="165"/>
      <c r="W793" s="165"/>
      <c r="X793" s="165"/>
      <c r="Y793" s="165"/>
      <c r="Z793" s="165"/>
    </row>
    <row r="794" spans="1:26" ht="12.75" customHeight="1">
      <c r="A794" s="165"/>
      <c r="B794" s="165"/>
      <c r="C794" s="165"/>
      <c r="D794" s="165"/>
      <c r="E794" s="165"/>
      <c r="F794" s="165"/>
      <c r="G794" s="165"/>
      <c r="H794" s="165"/>
      <c r="I794" s="165"/>
      <c r="J794" s="165"/>
      <c r="K794" s="165"/>
      <c r="L794" s="165"/>
      <c r="M794" s="165"/>
      <c r="N794" s="165"/>
      <c r="O794" s="165"/>
      <c r="P794" s="165"/>
      <c r="Q794" s="165"/>
      <c r="R794" s="165"/>
      <c r="S794" s="165"/>
      <c r="T794" s="165"/>
      <c r="U794" s="165"/>
      <c r="V794" s="165"/>
      <c r="W794" s="165"/>
      <c r="X794" s="165"/>
      <c r="Y794" s="165"/>
      <c r="Z794" s="165"/>
    </row>
    <row r="795" spans="1:26" ht="12.75" customHeight="1">
      <c r="A795" s="165"/>
      <c r="B795" s="165"/>
      <c r="C795" s="165"/>
      <c r="D795" s="165"/>
      <c r="E795" s="165"/>
      <c r="F795" s="165"/>
      <c r="G795" s="165"/>
      <c r="H795" s="165"/>
      <c r="I795" s="165"/>
      <c r="J795" s="165"/>
      <c r="K795" s="165"/>
      <c r="L795" s="165"/>
      <c r="M795" s="165"/>
      <c r="N795" s="165"/>
      <c r="O795" s="165"/>
      <c r="P795" s="165"/>
      <c r="Q795" s="165"/>
      <c r="R795" s="165"/>
      <c r="S795" s="165"/>
      <c r="T795" s="165"/>
      <c r="U795" s="165"/>
      <c r="V795" s="165"/>
      <c r="W795" s="165"/>
      <c r="X795" s="165"/>
      <c r="Y795" s="165"/>
      <c r="Z795" s="165"/>
    </row>
    <row r="796" spans="1:26" ht="12.75" customHeight="1">
      <c r="A796" s="165"/>
      <c r="B796" s="165"/>
      <c r="C796" s="165"/>
      <c r="D796" s="165"/>
      <c r="E796" s="165"/>
      <c r="F796" s="165"/>
      <c r="G796" s="165"/>
      <c r="H796" s="165"/>
      <c r="I796" s="165"/>
      <c r="J796" s="165"/>
      <c r="K796" s="165"/>
      <c r="L796" s="165"/>
      <c r="M796" s="165"/>
      <c r="N796" s="165"/>
      <c r="O796" s="165"/>
      <c r="P796" s="165"/>
      <c r="Q796" s="165"/>
      <c r="R796" s="165"/>
      <c r="S796" s="165"/>
      <c r="T796" s="165"/>
      <c r="U796" s="165"/>
      <c r="V796" s="165"/>
      <c r="W796" s="165"/>
      <c r="X796" s="165"/>
      <c r="Y796" s="165"/>
      <c r="Z796" s="165"/>
    </row>
    <row r="797" spans="1:26" ht="12.75" customHeight="1">
      <c r="A797" s="165"/>
      <c r="B797" s="165"/>
      <c r="C797" s="165"/>
      <c r="D797" s="165"/>
      <c r="E797" s="165"/>
      <c r="F797" s="165"/>
      <c r="G797" s="165"/>
      <c r="H797" s="165"/>
      <c r="I797" s="165"/>
      <c r="J797" s="165"/>
      <c r="K797" s="165"/>
      <c r="L797" s="165"/>
      <c r="M797" s="165"/>
      <c r="N797" s="165"/>
      <c r="O797" s="165"/>
      <c r="P797" s="165"/>
      <c r="Q797" s="165"/>
      <c r="R797" s="165"/>
      <c r="S797" s="165"/>
      <c r="T797" s="165"/>
      <c r="U797" s="165"/>
      <c r="V797" s="165"/>
      <c r="W797" s="165"/>
      <c r="X797" s="165"/>
      <c r="Y797" s="165"/>
      <c r="Z797" s="165"/>
    </row>
    <row r="798" spans="1:26" ht="12.75" customHeight="1">
      <c r="A798" s="165"/>
      <c r="B798" s="165"/>
      <c r="C798" s="165"/>
      <c r="D798" s="165"/>
      <c r="E798" s="165"/>
      <c r="F798" s="165"/>
      <c r="G798" s="165"/>
      <c r="H798" s="165"/>
      <c r="I798" s="165"/>
      <c r="J798" s="165"/>
      <c r="K798" s="165"/>
      <c r="L798" s="165"/>
      <c r="M798" s="165"/>
      <c r="N798" s="165"/>
      <c r="O798" s="165"/>
      <c r="P798" s="165"/>
      <c r="Q798" s="165"/>
      <c r="R798" s="165"/>
      <c r="S798" s="165"/>
      <c r="T798" s="165"/>
      <c r="U798" s="165"/>
      <c r="V798" s="165"/>
      <c r="W798" s="165"/>
      <c r="X798" s="165"/>
      <c r="Y798" s="165"/>
      <c r="Z798" s="165"/>
    </row>
    <row r="799" spans="1:26" ht="12.75" customHeight="1">
      <c r="A799" s="165"/>
      <c r="B799" s="165"/>
      <c r="C799" s="165"/>
      <c r="D799" s="165"/>
      <c r="E799" s="165"/>
      <c r="F799" s="165"/>
      <c r="G799" s="165"/>
      <c r="H799" s="165"/>
      <c r="I799" s="165"/>
      <c r="J799" s="165"/>
      <c r="K799" s="165"/>
      <c r="L799" s="165"/>
      <c r="M799" s="165"/>
      <c r="N799" s="165"/>
      <c r="O799" s="165"/>
      <c r="P799" s="165"/>
      <c r="Q799" s="165"/>
      <c r="R799" s="165"/>
      <c r="S799" s="165"/>
      <c r="T799" s="165"/>
      <c r="U799" s="165"/>
      <c r="V799" s="165"/>
      <c r="W799" s="165"/>
      <c r="X799" s="165"/>
      <c r="Y799" s="165"/>
      <c r="Z799" s="165"/>
    </row>
    <row r="800" spans="1:26" ht="12.75" customHeight="1">
      <c r="A800" s="165"/>
      <c r="B800" s="165"/>
      <c r="C800" s="165"/>
      <c r="D800" s="165"/>
      <c r="E800" s="165"/>
      <c r="F800" s="165"/>
      <c r="G800" s="165"/>
      <c r="H800" s="165"/>
      <c r="I800" s="165"/>
      <c r="J800" s="165"/>
      <c r="K800" s="165"/>
      <c r="L800" s="165"/>
      <c r="M800" s="165"/>
      <c r="N800" s="165"/>
      <c r="O800" s="165"/>
      <c r="P800" s="165"/>
      <c r="Q800" s="165"/>
      <c r="R800" s="165"/>
      <c r="S800" s="165"/>
      <c r="T800" s="165"/>
      <c r="U800" s="165"/>
      <c r="V800" s="165"/>
      <c r="W800" s="165"/>
      <c r="X800" s="165"/>
      <c r="Y800" s="165"/>
      <c r="Z800" s="165"/>
    </row>
    <row r="801" spans="1:26" ht="12.75" customHeight="1">
      <c r="A801" s="165"/>
      <c r="B801" s="165"/>
      <c r="C801" s="165"/>
      <c r="D801" s="165"/>
      <c r="E801" s="165"/>
      <c r="F801" s="165"/>
      <c r="G801" s="165"/>
      <c r="H801" s="165"/>
      <c r="I801" s="165"/>
      <c r="J801" s="165"/>
      <c r="K801" s="165"/>
      <c r="L801" s="165"/>
      <c r="M801" s="165"/>
      <c r="N801" s="165"/>
      <c r="O801" s="165"/>
      <c r="P801" s="165"/>
      <c r="Q801" s="165"/>
      <c r="R801" s="165"/>
      <c r="S801" s="165"/>
      <c r="T801" s="165"/>
      <c r="U801" s="165"/>
      <c r="V801" s="165"/>
      <c r="W801" s="165"/>
      <c r="X801" s="165"/>
      <c r="Y801" s="165"/>
      <c r="Z801" s="165"/>
    </row>
    <row r="802" spans="1:26" ht="12.75" customHeight="1">
      <c r="A802" s="165"/>
      <c r="B802" s="165"/>
      <c r="C802" s="165"/>
      <c r="D802" s="165"/>
      <c r="E802" s="165"/>
      <c r="F802" s="165"/>
      <c r="G802" s="165"/>
      <c r="H802" s="165"/>
      <c r="I802" s="165"/>
      <c r="J802" s="165"/>
      <c r="K802" s="165"/>
      <c r="L802" s="165"/>
      <c r="M802" s="165"/>
      <c r="N802" s="165"/>
      <c r="O802" s="165"/>
      <c r="P802" s="165"/>
      <c r="Q802" s="165"/>
      <c r="R802" s="165"/>
      <c r="S802" s="165"/>
      <c r="T802" s="165"/>
      <c r="U802" s="165"/>
      <c r="V802" s="165"/>
      <c r="W802" s="165"/>
      <c r="X802" s="165"/>
      <c r="Y802" s="165"/>
      <c r="Z802" s="165"/>
    </row>
    <row r="803" spans="1:26" ht="12.75" customHeight="1">
      <c r="A803" s="165"/>
      <c r="B803" s="165"/>
      <c r="C803" s="165"/>
      <c r="D803" s="165"/>
      <c r="E803" s="165"/>
      <c r="F803" s="165"/>
      <c r="G803" s="165"/>
      <c r="H803" s="165"/>
      <c r="I803" s="165"/>
      <c r="J803" s="165"/>
      <c r="K803" s="165"/>
      <c r="L803" s="165"/>
      <c r="M803" s="165"/>
      <c r="N803" s="165"/>
      <c r="O803" s="165"/>
      <c r="P803" s="165"/>
      <c r="Q803" s="165"/>
      <c r="R803" s="165"/>
      <c r="S803" s="165"/>
      <c r="T803" s="165"/>
      <c r="U803" s="165"/>
      <c r="V803" s="165"/>
      <c r="W803" s="165"/>
      <c r="X803" s="165"/>
      <c r="Y803" s="165"/>
      <c r="Z803" s="165"/>
    </row>
    <row r="804" spans="1:26" ht="12.75" customHeight="1">
      <c r="A804" s="165"/>
      <c r="B804" s="165"/>
      <c r="C804" s="165"/>
      <c r="D804" s="165"/>
      <c r="E804" s="165"/>
      <c r="F804" s="165"/>
      <c r="G804" s="165"/>
      <c r="H804" s="165"/>
      <c r="I804" s="165"/>
      <c r="J804" s="165"/>
      <c r="K804" s="165"/>
      <c r="L804" s="165"/>
      <c r="M804" s="165"/>
      <c r="N804" s="165"/>
      <c r="O804" s="165"/>
      <c r="P804" s="165"/>
      <c r="Q804" s="165"/>
      <c r="R804" s="165"/>
      <c r="S804" s="165"/>
      <c r="T804" s="165"/>
      <c r="U804" s="165"/>
      <c r="V804" s="165"/>
      <c r="W804" s="165"/>
      <c r="X804" s="165"/>
      <c r="Y804" s="165"/>
      <c r="Z804" s="165"/>
    </row>
    <row r="805" spans="1:26" ht="12.75" customHeight="1">
      <c r="A805" s="165"/>
      <c r="B805" s="165"/>
      <c r="C805" s="165"/>
      <c r="D805" s="165"/>
      <c r="E805" s="165"/>
      <c r="F805" s="165"/>
      <c r="G805" s="165"/>
      <c r="H805" s="165"/>
      <c r="I805" s="165"/>
      <c r="J805" s="165"/>
      <c r="K805" s="165"/>
      <c r="L805" s="165"/>
      <c r="M805" s="165"/>
      <c r="N805" s="165"/>
      <c r="O805" s="165"/>
      <c r="P805" s="165"/>
      <c r="Q805" s="165"/>
      <c r="R805" s="165"/>
      <c r="S805" s="165"/>
      <c r="T805" s="165"/>
      <c r="U805" s="165"/>
      <c r="V805" s="165"/>
      <c r="W805" s="165"/>
      <c r="X805" s="165"/>
      <c r="Y805" s="165"/>
      <c r="Z805" s="165"/>
    </row>
    <row r="806" spans="1:26" ht="12.75" customHeight="1">
      <c r="A806" s="165"/>
      <c r="B806" s="165"/>
      <c r="C806" s="165"/>
      <c r="D806" s="165"/>
      <c r="E806" s="165"/>
      <c r="F806" s="165"/>
      <c r="G806" s="165"/>
      <c r="H806" s="165"/>
      <c r="I806" s="165"/>
      <c r="J806" s="165"/>
      <c r="K806" s="165"/>
      <c r="L806" s="165"/>
      <c r="M806" s="165"/>
      <c r="N806" s="165"/>
      <c r="O806" s="165"/>
      <c r="P806" s="165"/>
      <c r="Q806" s="165"/>
      <c r="R806" s="165"/>
      <c r="S806" s="165"/>
      <c r="T806" s="165"/>
      <c r="U806" s="165"/>
      <c r="V806" s="165"/>
      <c r="W806" s="165"/>
      <c r="X806" s="165"/>
      <c r="Y806" s="165"/>
      <c r="Z806" s="165"/>
    </row>
    <row r="807" spans="1:26" ht="12.75" customHeight="1">
      <c r="A807" s="165"/>
      <c r="B807" s="165"/>
      <c r="C807" s="165"/>
      <c r="D807" s="165"/>
      <c r="E807" s="165"/>
      <c r="F807" s="165"/>
      <c r="G807" s="165"/>
      <c r="H807" s="165"/>
      <c r="I807" s="165"/>
      <c r="J807" s="165"/>
      <c r="K807" s="165"/>
      <c r="L807" s="165"/>
      <c r="M807" s="165"/>
      <c r="N807" s="165"/>
      <c r="O807" s="165"/>
      <c r="P807" s="165"/>
      <c r="Q807" s="165"/>
      <c r="R807" s="165"/>
      <c r="S807" s="165"/>
      <c r="T807" s="165"/>
      <c r="U807" s="165"/>
      <c r="V807" s="165"/>
      <c r="W807" s="165"/>
      <c r="X807" s="165"/>
      <c r="Y807" s="165"/>
      <c r="Z807" s="165"/>
    </row>
    <row r="808" spans="1:26" ht="12.75" customHeight="1">
      <c r="A808" s="165"/>
      <c r="B808" s="165"/>
      <c r="C808" s="165"/>
      <c r="D808" s="165"/>
      <c r="E808" s="165"/>
      <c r="F808" s="165"/>
      <c r="G808" s="165"/>
      <c r="H808" s="165"/>
      <c r="I808" s="165"/>
      <c r="J808" s="165"/>
      <c r="K808" s="165"/>
      <c r="L808" s="165"/>
      <c r="M808" s="165"/>
      <c r="N808" s="165"/>
      <c r="O808" s="165"/>
      <c r="P808" s="165"/>
      <c r="Q808" s="165"/>
      <c r="R808" s="165"/>
      <c r="S808" s="165"/>
      <c r="T808" s="165"/>
      <c r="U808" s="165"/>
      <c r="V808" s="165"/>
      <c r="W808" s="165"/>
      <c r="X808" s="165"/>
      <c r="Y808" s="165"/>
      <c r="Z808" s="165"/>
    </row>
    <row r="809" spans="1:26" ht="12.75" customHeight="1">
      <c r="A809" s="165"/>
      <c r="B809" s="165"/>
      <c r="C809" s="165"/>
      <c r="D809" s="165"/>
      <c r="E809" s="165"/>
      <c r="F809" s="165"/>
      <c r="G809" s="165"/>
      <c r="H809" s="165"/>
      <c r="I809" s="165"/>
      <c r="J809" s="165"/>
      <c r="K809" s="165"/>
      <c r="L809" s="165"/>
      <c r="M809" s="165"/>
      <c r="N809" s="165"/>
      <c r="O809" s="165"/>
      <c r="P809" s="165"/>
      <c r="Q809" s="165"/>
      <c r="R809" s="165"/>
      <c r="S809" s="165"/>
      <c r="T809" s="165"/>
      <c r="U809" s="165"/>
      <c r="V809" s="165"/>
      <c r="W809" s="165"/>
      <c r="X809" s="165"/>
      <c r="Y809" s="165"/>
      <c r="Z809" s="165"/>
    </row>
    <row r="810" spans="1:26" ht="12.75" customHeight="1">
      <c r="A810" s="165"/>
      <c r="B810" s="165"/>
      <c r="C810" s="165"/>
      <c r="D810" s="165"/>
      <c r="E810" s="165"/>
      <c r="F810" s="165"/>
      <c r="G810" s="165"/>
      <c r="H810" s="165"/>
      <c r="I810" s="165"/>
      <c r="J810" s="165"/>
      <c r="K810" s="165"/>
      <c r="L810" s="165"/>
      <c r="M810" s="165"/>
      <c r="N810" s="165"/>
      <c r="O810" s="165"/>
      <c r="P810" s="165"/>
      <c r="Q810" s="165"/>
      <c r="R810" s="165"/>
      <c r="S810" s="165"/>
      <c r="T810" s="165"/>
      <c r="U810" s="165"/>
      <c r="V810" s="165"/>
      <c r="W810" s="165"/>
      <c r="X810" s="165"/>
      <c r="Y810" s="165"/>
      <c r="Z810" s="165"/>
    </row>
    <row r="811" spans="1:26" ht="12.75" customHeight="1">
      <c r="A811" s="165"/>
      <c r="B811" s="165"/>
      <c r="C811" s="165"/>
      <c r="D811" s="165"/>
      <c r="E811" s="165"/>
      <c r="F811" s="165"/>
      <c r="G811" s="165"/>
      <c r="H811" s="165"/>
      <c r="I811" s="165"/>
      <c r="J811" s="165"/>
      <c r="K811" s="165"/>
      <c r="L811" s="165"/>
      <c r="M811" s="165"/>
      <c r="N811" s="165"/>
      <c r="O811" s="165"/>
      <c r="P811" s="165"/>
      <c r="Q811" s="165"/>
      <c r="R811" s="165"/>
      <c r="S811" s="165"/>
      <c r="T811" s="165"/>
      <c r="U811" s="165"/>
      <c r="V811" s="165"/>
      <c r="W811" s="165"/>
      <c r="X811" s="165"/>
      <c r="Y811" s="165"/>
      <c r="Z811" s="165"/>
    </row>
    <row r="812" spans="1:26" ht="12.75" customHeight="1">
      <c r="A812" s="165"/>
      <c r="B812" s="165"/>
      <c r="C812" s="165"/>
      <c r="D812" s="165"/>
      <c r="E812" s="165"/>
      <c r="F812" s="165"/>
      <c r="G812" s="165"/>
      <c r="H812" s="165"/>
      <c r="I812" s="165"/>
      <c r="J812" s="165"/>
      <c r="K812" s="165"/>
      <c r="L812" s="165"/>
      <c r="M812" s="165"/>
      <c r="N812" s="165"/>
      <c r="O812" s="165"/>
      <c r="P812" s="165"/>
      <c r="Q812" s="165"/>
      <c r="R812" s="165"/>
      <c r="S812" s="165"/>
      <c r="T812" s="165"/>
      <c r="U812" s="165"/>
      <c r="V812" s="165"/>
      <c r="W812" s="165"/>
      <c r="X812" s="165"/>
      <c r="Y812" s="165"/>
      <c r="Z812" s="165"/>
    </row>
    <row r="813" spans="1:26" ht="12.75" customHeight="1">
      <c r="A813" s="165"/>
      <c r="B813" s="165"/>
      <c r="C813" s="165"/>
      <c r="D813" s="165"/>
      <c r="E813" s="165"/>
      <c r="F813" s="165"/>
      <c r="G813" s="165"/>
      <c r="H813" s="165"/>
      <c r="I813" s="165"/>
      <c r="J813" s="165"/>
      <c r="K813" s="165"/>
      <c r="L813" s="165"/>
      <c r="M813" s="165"/>
      <c r="N813" s="165"/>
      <c r="O813" s="165"/>
      <c r="P813" s="165"/>
      <c r="Q813" s="165"/>
      <c r="R813" s="165"/>
      <c r="S813" s="165"/>
      <c r="T813" s="165"/>
      <c r="U813" s="165"/>
      <c r="V813" s="165"/>
      <c r="W813" s="165"/>
      <c r="X813" s="165"/>
      <c r="Y813" s="165"/>
      <c r="Z813" s="165"/>
    </row>
    <row r="814" spans="1:26" ht="12.75" customHeight="1">
      <c r="A814" s="165"/>
      <c r="B814" s="165"/>
      <c r="C814" s="165"/>
      <c r="D814" s="165"/>
      <c r="E814" s="165"/>
      <c r="F814" s="165"/>
      <c r="G814" s="165"/>
      <c r="H814" s="165"/>
      <c r="I814" s="165"/>
      <c r="J814" s="165"/>
      <c r="K814" s="165"/>
      <c r="L814" s="165"/>
      <c r="M814" s="165"/>
      <c r="N814" s="165"/>
      <c r="O814" s="165"/>
      <c r="P814" s="165"/>
      <c r="Q814" s="165"/>
      <c r="R814" s="165"/>
      <c r="S814" s="165"/>
      <c r="T814" s="165"/>
      <c r="U814" s="165"/>
      <c r="V814" s="165"/>
      <c r="W814" s="165"/>
      <c r="X814" s="165"/>
      <c r="Y814" s="165"/>
      <c r="Z814" s="165"/>
    </row>
    <row r="815" spans="1:26" ht="12.75" customHeight="1">
      <c r="A815" s="165"/>
      <c r="B815" s="165"/>
      <c r="C815" s="165"/>
      <c r="D815" s="165"/>
      <c r="E815" s="165"/>
      <c r="F815" s="165"/>
      <c r="G815" s="165"/>
      <c r="H815" s="165"/>
      <c r="I815" s="165"/>
      <c r="J815" s="165"/>
      <c r="K815" s="165"/>
      <c r="L815" s="165"/>
      <c r="M815" s="165"/>
      <c r="N815" s="165"/>
      <c r="O815" s="165"/>
      <c r="P815" s="165"/>
      <c r="Q815" s="165"/>
      <c r="R815" s="165"/>
      <c r="S815" s="165"/>
      <c r="T815" s="165"/>
      <c r="U815" s="165"/>
      <c r="V815" s="165"/>
      <c r="W815" s="165"/>
      <c r="X815" s="165"/>
      <c r="Y815" s="165"/>
      <c r="Z815" s="165"/>
    </row>
    <row r="816" spans="1:26" ht="12.75" customHeight="1">
      <c r="A816" s="165"/>
      <c r="B816" s="165"/>
      <c r="C816" s="165"/>
      <c r="D816" s="165"/>
      <c r="E816" s="165"/>
      <c r="F816" s="165"/>
      <c r="G816" s="165"/>
      <c r="H816" s="165"/>
      <c r="I816" s="165"/>
      <c r="J816" s="165"/>
      <c r="K816" s="165"/>
      <c r="L816" s="165"/>
      <c r="M816" s="165"/>
      <c r="N816" s="165"/>
      <c r="O816" s="165"/>
      <c r="P816" s="165"/>
      <c r="Q816" s="165"/>
      <c r="R816" s="165"/>
      <c r="S816" s="165"/>
      <c r="T816" s="165"/>
      <c r="U816" s="165"/>
      <c r="V816" s="165"/>
      <c r="W816" s="165"/>
      <c r="X816" s="165"/>
      <c r="Y816" s="165"/>
      <c r="Z816" s="165"/>
    </row>
    <row r="817" spans="1:26" ht="12.75" customHeight="1">
      <c r="A817" s="165"/>
      <c r="B817" s="165"/>
      <c r="C817" s="165"/>
      <c r="D817" s="165"/>
      <c r="E817" s="165"/>
      <c r="F817" s="165"/>
      <c r="G817" s="165"/>
      <c r="H817" s="165"/>
      <c r="I817" s="165"/>
      <c r="J817" s="165"/>
      <c r="K817" s="165"/>
      <c r="L817" s="165"/>
      <c r="M817" s="165"/>
      <c r="N817" s="165"/>
      <c r="O817" s="165"/>
      <c r="P817" s="165"/>
      <c r="Q817" s="165"/>
      <c r="R817" s="165"/>
      <c r="S817" s="165"/>
      <c r="T817" s="165"/>
      <c r="U817" s="165"/>
      <c r="V817" s="165"/>
      <c r="W817" s="165"/>
      <c r="X817" s="165"/>
      <c r="Y817" s="165"/>
      <c r="Z817" s="165"/>
    </row>
    <row r="818" spans="1:26" ht="12.75" customHeight="1">
      <c r="A818" s="165"/>
      <c r="B818" s="165"/>
      <c r="C818" s="165"/>
      <c r="D818" s="165"/>
      <c r="E818" s="165"/>
      <c r="F818" s="165"/>
      <c r="G818" s="165"/>
      <c r="H818" s="165"/>
      <c r="I818" s="165"/>
      <c r="J818" s="165"/>
      <c r="K818" s="165"/>
      <c r="L818" s="165"/>
      <c r="M818" s="165"/>
      <c r="N818" s="165"/>
      <c r="O818" s="165"/>
      <c r="P818" s="165"/>
      <c r="Q818" s="165"/>
      <c r="R818" s="165"/>
      <c r="S818" s="165"/>
      <c r="T818" s="165"/>
      <c r="U818" s="165"/>
      <c r="V818" s="165"/>
      <c r="W818" s="165"/>
      <c r="X818" s="165"/>
      <c r="Y818" s="165"/>
      <c r="Z818" s="165"/>
    </row>
    <row r="819" spans="1:26" ht="12.75" customHeight="1">
      <c r="A819" s="165"/>
      <c r="B819" s="165"/>
      <c r="C819" s="165"/>
      <c r="D819" s="165"/>
      <c r="E819" s="165"/>
      <c r="F819" s="165"/>
      <c r="G819" s="165"/>
      <c r="H819" s="165"/>
      <c r="I819" s="165"/>
      <c r="J819" s="165"/>
      <c r="K819" s="165"/>
      <c r="L819" s="165"/>
      <c r="M819" s="165"/>
      <c r="N819" s="165"/>
      <c r="O819" s="165"/>
      <c r="P819" s="165"/>
      <c r="Q819" s="165"/>
      <c r="R819" s="165"/>
      <c r="S819" s="165"/>
      <c r="T819" s="165"/>
      <c r="U819" s="165"/>
      <c r="V819" s="165"/>
      <c r="W819" s="165"/>
      <c r="X819" s="165"/>
      <c r="Y819" s="165"/>
      <c r="Z819" s="165"/>
    </row>
    <row r="820" spans="1:26" ht="12.75" customHeight="1">
      <c r="A820" s="165"/>
      <c r="B820" s="165"/>
      <c r="C820" s="165"/>
      <c r="D820" s="165"/>
      <c r="E820" s="165"/>
      <c r="F820" s="165"/>
      <c r="G820" s="165"/>
      <c r="H820" s="165"/>
      <c r="I820" s="165"/>
      <c r="J820" s="165"/>
      <c r="K820" s="165"/>
      <c r="L820" s="165"/>
      <c r="M820" s="165"/>
      <c r="N820" s="165"/>
      <c r="O820" s="165"/>
      <c r="P820" s="165"/>
      <c r="Q820" s="165"/>
      <c r="R820" s="165"/>
      <c r="S820" s="165"/>
      <c r="T820" s="165"/>
      <c r="U820" s="165"/>
      <c r="V820" s="165"/>
      <c r="W820" s="165"/>
      <c r="X820" s="165"/>
      <c r="Y820" s="165"/>
      <c r="Z820" s="165"/>
    </row>
    <row r="821" spans="1:26" ht="12.75" customHeight="1">
      <c r="A821" s="165"/>
      <c r="B821" s="165"/>
      <c r="C821" s="165"/>
      <c r="D821" s="165"/>
      <c r="E821" s="165"/>
      <c r="F821" s="165"/>
      <c r="G821" s="165"/>
      <c r="H821" s="165"/>
      <c r="I821" s="165"/>
      <c r="J821" s="165"/>
      <c r="K821" s="165"/>
      <c r="L821" s="165"/>
      <c r="M821" s="165"/>
      <c r="N821" s="165"/>
      <c r="O821" s="165"/>
      <c r="P821" s="165"/>
      <c r="Q821" s="165"/>
      <c r="R821" s="165"/>
      <c r="S821" s="165"/>
      <c r="T821" s="165"/>
      <c r="U821" s="165"/>
      <c r="V821" s="165"/>
      <c r="W821" s="165"/>
      <c r="X821" s="165"/>
      <c r="Y821" s="165"/>
      <c r="Z821" s="165"/>
    </row>
    <row r="822" spans="1:26" ht="12.75" customHeight="1">
      <c r="A822" s="165"/>
      <c r="B822" s="165"/>
      <c r="C822" s="165"/>
      <c r="D822" s="165"/>
      <c r="E822" s="165"/>
      <c r="F822" s="165"/>
      <c r="G822" s="165"/>
      <c r="H822" s="165"/>
      <c r="I822" s="165"/>
      <c r="J822" s="165"/>
      <c r="K822" s="165"/>
      <c r="L822" s="165"/>
      <c r="M822" s="165"/>
      <c r="N822" s="165"/>
      <c r="O822" s="165"/>
      <c r="P822" s="165"/>
      <c r="Q822" s="165"/>
      <c r="R822" s="165"/>
      <c r="S822" s="165"/>
      <c r="T822" s="165"/>
      <c r="U822" s="165"/>
      <c r="V822" s="165"/>
      <c r="W822" s="165"/>
      <c r="X822" s="165"/>
      <c r="Y822" s="165"/>
      <c r="Z822" s="165"/>
    </row>
    <row r="823" spans="1:26" ht="12.75" customHeight="1">
      <c r="A823" s="165"/>
      <c r="B823" s="165"/>
      <c r="C823" s="165"/>
      <c r="D823" s="165"/>
      <c r="E823" s="165"/>
      <c r="F823" s="165"/>
      <c r="G823" s="165"/>
      <c r="H823" s="165"/>
      <c r="I823" s="165"/>
      <c r="J823" s="165"/>
      <c r="K823" s="165"/>
      <c r="L823" s="165"/>
      <c r="M823" s="165"/>
      <c r="N823" s="165"/>
      <c r="O823" s="165"/>
      <c r="P823" s="165"/>
      <c r="Q823" s="165"/>
      <c r="R823" s="165"/>
      <c r="S823" s="165"/>
      <c r="T823" s="165"/>
      <c r="U823" s="165"/>
      <c r="V823" s="165"/>
      <c r="W823" s="165"/>
      <c r="X823" s="165"/>
      <c r="Y823" s="165"/>
      <c r="Z823" s="165"/>
    </row>
    <row r="824" spans="1:26" ht="12.75" customHeight="1">
      <c r="A824" s="165"/>
      <c r="B824" s="165"/>
      <c r="C824" s="165"/>
      <c r="D824" s="165"/>
      <c r="E824" s="165"/>
      <c r="F824" s="165"/>
      <c r="G824" s="165"/>
      <c r="H824" s="165"/>
      <c r="I824" s="165"/>
      <c r="J824" s="165"/>
      <c r="K824" s="165"/>
      <c r="L824" s="165"/>
      <c r="M824" s="165"/>
      <c r="N824" s="165"/>
      <c r="O824" s="165"/>
      <c r="P824" s="165"/>
      <c r="Q824" s="165"/>
      <c r="R824" s="165"/>
      <c r="S824" s="165"/>
      <c r="T824" s="165"/>
      <c r="U824" s="165"/>
      <c r="V824" s="165"/>
      <c r="W824" s="165"/>
      <c r="X824" s="165"/>
      <c r="Y824" s="165"/>
      <c r="Z824" s="165"/>
    </row>
    <row r="825" spans="1:26" ht="12.75" customHeight="1">
      <c r="A825" s="165"/>
      <c r="B825" s="165"/>
      <c r="C825" s="165"/>
      <c r="D825" s="165"/>
      <c r="E825" s="165"/>
      <c r="F825" s="165"/>
      <c r="G825" s="165"/>
      <c r="H825" s="165"/>
      <c r="I825" s="165"/>
      <c r="J825" s="165"/>
      <c r="K825" s="165"/>
      <c r="L825" s="165"/>
      <c r="M825" s="165"/>
      <c r="N825" s="165"/>
      <c r="O825" s="165"/>
      <c r="P825" s="165"/>
      <c r="Q825" s="165"/>
      <c r="R825" s="165"/>
      <c r="S825" s="165"/>
      <c r="T825" s="165"/>
      <c r="U825" s="165"/>
      <c r="V825" s="165"/>
      <c r="W825" s="165"/>
      <c r="X825" s="165"/>
      <c r="Y825" s="165"/>
      <c r="Z825" s="165"/>
    </row>
    <row r="826" spans="1:26" ht="12.75" customHeight="1">
      <c r="A826" s="165"/>
      <c r="B826" s="165"/>
      <c r="C826" s="165"/>
      <c r="D826" s="165"/>
      <c r="E826" s="165"/>
      <c r="F826" s="165"/>
      <c r="G826" s="165"/>
      <c r="H826" s="165"/>
      <c r="I826" s="165"/>
      <c r="J826" s="165"/>
      <c r="K826" s="165"/>
      <c r="L826" s="165"/>
      <c r="M826" s="165"/>
      <c r="N826" s="165"/>
      <c r="O826" s="165"/>
      <c r="P826" s="165"/>
      <c r="Q826" s="165"/>
      <c r="R826" s="165"/>
      <c r="S826" s="165"/>
      <c r="T826" s="165"/>
      <c r="U826" s="165"/>
      <c r="V826" s="165"/>
      <c r="W826" s="165"/>
      <c r="X826" s="165"/>
      <c r="Y826" s="165"/>
      <c r="Z826" s="165"/>
    </row>
    <row r="827" spans="1:26" ht="12.75" customHeight="1">
      <c r="A827" s="165"/>
      <c r="B827" s="165"/>
      <c r="C827" s="165"/>
      <c r="D827" s="165"/>
      <c r="E827" s="165"/>
      <c r="F827" s="165"/>
      <c r="G827" s="165"/>
      <c r="H827" s="165"/>
      <c r="I827" s="165"/>
      <c r="J827" s="165"/>
      <c r="K827" s="165"/>
      <c r="L827" s="165"/>
      <c r="M827" s="165"/>
      <c r="N827" s="165"/>
      <c r="O827" s="165"/>
      <c r="P827" s="165"/>
      <c r="Q827" s="165"/>
      <c r="R827" s="165"/>
      <c r="S827" s="165"/>
      <c r="T827" s="165"/>
      <c r="U827" s="165"/>
      <c r="V827" s="165"/>
      <c r="W827" s="165"/>
      <c r="X827" s="165"/>
      <c r="Y827" s="165"/>
      <c r="Z827" s="165"/>
    </row>
    <row r="828" spans="1:26" ht="12.75" customHeight="1">
      <c r="A828" s="165"/>
      <c r="B828" s="165"/>
      <c r="C828" s="165"/>
      <c r="D828" s="165"/>
      <c r="E828" s="165"/>
      <c r="F828" s="165"/>
      <c r="G828" s="165"/>
      <c r="H828" s="165"/>
      <c r="I828" s="165"/>
      <c r="J828" s="165"/>
      <c r="K828" s="165"/>
      <c r="L828" s="165"/>
      <c r="M828" s="165"/>
      <c r="N828" s="165"/>
      <c r="O828" s="165"/>
      <c r="P828" s="165"/>
      <c r="Q828" s="165"/>
      <c r="R828" s="165"/>
      <c r="S828" s="165"/>
      <c r="T828" s="165"/>
      <c r="U828" s="165"/>
      <c r="V828" s="165"/>
      <c r="W828" s="165"/>
      <c r="X828" s="165"/>
      <c r="Y828" s="165"/>
      <c r="Z828" s="165"/>
    </row>
    <row r="829" spans="1:26" ht="12.75" customHeight="1">
      <c r="A829" s="165"/>
      <c r="B829" s="165"/>
      <c r="C829" s="165"/>
      <c r="D829" s="165"/>
      <c r="E829" s="165"/>
      <c r="F829" s="165"/>
      <c r="G829" s="165"/>
      <c r="H829" s="165"/>
      <c r="I829" s="165"/>
      <c r="J829" s="165"/>
      <c r="K829" s="165"/>
      <c r="L829" s="165"/>
      <c r="M829" s="165"/>
      <c r="N829" s="165"/>
      <c r="O829" s="165"/>
      <c r="P829" s="165"/>
      <c r="Q829" s="165"/>
      <c r="R829" s="165"/>
      <c r="S829" s="165"/>
      <c r="T829" s="165"/>
      <c r="U829" s="165"/>
      <c r="V829" s="165"/>
      <c r="W829" s="165"/>
      <c r="X829" s="165"/>
      <c r="Y829" s="165"/>
      <c r="Z829" s="165"/>
    </row>
    <row r="830" spans="1:26" ht="12.75" customHeight="1">
      <c r="A830" s="165"/>
      <c r="B830" s="165"/>
      <c r="C830" s="165"/>
      <c r="D830" s="165"/>
      <c r="E830" s="165"/>
      <c r="F830" s="165"/>
      <c r="G830" s="165"/>
      <c r="H830" s="165"/>
      <c r="I830" s="165"/>
      <c r="J830" s="165"/>
      <c r="K830" s="165"/>
      <c r="L830" s="165"/>
      <c r="M830" s="165"/>
      <c r="N830" s="165"/>
      <c r="O830" s="165"/>
      <c r="P830" s="165"/>
      <c r="Q830" s="165"/>
      <c r="R830" s="165"/>
      <c r="S830" s="165"/>
      <c r="T830" s="165"/>
      <c r="U830" s="165"/>
      <c r="V830" s="165"/>
      <c r="W830" s="165"/>
      <c r="X830" s="165"/>
      <c r="Y830" s="165"/>
      <c r="Z830" s="165"/>
    </row>
    <row r="831" spans="1:26" ht="12.75" customHeight="1">
      <c r="A831" s="165"/>
      <c r="B831" s="165"/>
      <c r="C831" s="165"/>
      <c r="D831" s="165"/>
      <c r="E831" s="165"/>
      <c r="F831" s="165"/>
      <c r="G831" s="165"/>
      <c r="H831" s="165"/>
      <c r="I831" s="165"/>
      <c r="J831" s="165"/>
      <c r="K831" s="165"/>
      <c r="L831" s="165"/>
      <c r="M831" s="165"/>
      <c r="N831" s="165"/>
      <c r="O831" s="165"/>
      <c r="P831" s="165"/>
      <c r="Q831" s="165"/>
      <c r="R831" s="165"/>
      <c r="S831" s="165"/>
      <c r="T831" s="165"/>
      <c r="U831" s="165"/>
      <c r="V831" s="165"/>
      <c r="W831" s="165"/>
      <c r="X831" s="165"/>
      <c r="Y831" s="165"/>
      <c r="Z831" s="165"/>
    </row>
    <row r="832" spans="1:26" ht="12.75" customHeight="1">
      <c r="A832" s="165"/>
      <c r="B832" s="165"/>
      <c r="C832" s="165"/>
      <c r="D832" s="165"/>
      <c r="E832" s="165"/>
      <c r="F832" s="165"/>
      <c r="G832" s="165"/>
      <c r="H832" s="165"/>
      <c r="I832" s="165"/>
      <c r="J832" s="165"/>
      <c r="K832" s="165"/>
      <c r="L832" s="165"/>
      <c r="M832" s="165"/>
      <c r="N832" s="165"/>
      <c r="O832" s="165"/>
      <c r="P832" s="165"/>
      <c r="Q832" s="165"/>
      <c r="R832" s="165"/>
      <c r="S832" s="165"/>
      <c r="T832" s="165"/>
      <c r="U832" s="165"/>
      <c r="V832" s="165"/>
      <c r="W832" s="165"/>
      <c r="X832" s="165"/>
      <c r="Y832" s="165"/>
      <c r="Z832" s="165"/>
    </row>
    <row r="833" spans="1:26" ht="12.75" customHeight="1">
      <c r="A833" s="165"/>
      <c r="B833" s="165"/>
      <c r="C833" s="165"/>
      <c r="D833" s="165"/>
      <c r="E833" s="165"/>
      <c r="F833" s="165"/>
      <c r="G833" s="165"/>
      <c r="H833" s="165"/>
      <c r="I833" s="165"/>
      <c r="J833" s="165"/>
      <c r="K833" s="165"/>
      <c r="L833" s="165"/>
      <c r="M833" s="165"/>
      <c r="N833" s="165"/>
      <c r="O833" s="165"/>
      <c r="P833" s="165"/>
      <c r="Q833" s="165"/>
      <c r="R833" s="165"/>
      <c r="S833" s="165"/>
      <c r="T833" s="165"/>
      <c r="U833" s="165"/>
      <c r="V833" s="165"/>
      <c r="W833" s="165"/>
      <c r="X833" s="165"/>
      <c r="Y833" s="165"/>
      <c r="Z833" s="165"/>
    </row>
    <row r="834" spans="1:26" ht="12.75" customHeight="1">
      <c r="A834" s="165"/>
      <c r="B834" s="165"/>
      <c r="C834" s="165"/>
      <c r="D834" s="165"/>
      <c r="E834" s="165"/>
      <c r="F834" s="165"/>
      <c r="G834" s="165"/>
      <c r="H834" s="165"/>
      <c r="I834" s="165"/>
      <c r="J834" s="165"/>
      <c r="K834" s="165"/>
      <c r="L834" s="165"/>
      <c r="M834" s="165"/>
      <c r="N834" s="165"/>
      <c r="O834" s="165"/>
      <c r="P834" s="165"/>
      <c r="Q834" s="165"/>
      <c r="R834" s="165"/>
      <c r="S834" s="165"/>
      <c r="T834" s="165"/>
      <c r="U834" s="165"/>
      <c r="V834" s="165"/>
      <c r="W834" s="165"/>
      <c r="X834" s="165"/>
      <c r="Y834" s="165"/>
      <c r="Z834" s="165"/>
    </row>
    <row r="835" spans="1:26" ht="12.75" customHeight="1">
      <c r="A835" s="165"/>
      <c r="B835" s="165"/>
      <c r="C835" s="165"/>
      <c r="D835" s="165"/>
      <c r="E835" s="165"/>
      <c r="F835" s="165"/>
      <c r="G835" s="165"/>
      <c r="H835" s="165"/>
      <c r="I835" s="165"/>
      <c r="J835" s="165"/>
      <c r="K835" s="165"/>
      <c r="L835" s="165"/>
      <c r="M835" s="165"/>
      <c r="N835" s="165"/>
      <c r="O835" s="165"/>
      <c r="P835" s="165"/>
      <c r="Q835" s="165"/>
      <c r="R835" s="165"/>
      <c r="S835" s="165"/>
      <c r="T835" s="165"/>
      <c r="U835" s="165"/>
      <c r="V835" s="165"/>
      <c r="W835" s="165"/>
      <c r="X835" s="165"/>
      <c r="Y835" s="165"/>
      <c r="Z835" s="165"/>
    </row>
    <row r="836" spans="1:26" ht="12.75" customHeight="1">
      <c r="A836" s="165"/>
      <c r="B836" s="165"/>
      <c r="C836" s="165"/>
      <c r="D836" s="165"/>
      <c r="E836" s="165"/>
      <c r="F836" s="165"/>
      <c r="G836" s="165"/>
      <c r="H836" s="165"/>
      <c r="I836" s="165"/>
      <c r="J836" s="165"/>
      <c r="K836" s="165"/>
      <c r="L836" s="165"/>
      <c r="M836" s="165"/>
      <c r="N836" s="165"/>
      <c r="O836" s="165"/>
      <c r="P836" s="165"/>
      <c r="Q836" s="165"/>
      <c r="R836" s="165"/>
      <c r="S836" s="165"/>
      <c r="T836" s="165"/>
      <c r="U836" s="165"/>
      <c r="V836" s="165"/>
      <c r="W836" s="165"/>
      <c r="X836" s="165"/>
      <c r="Y836" s="165"/>
      <c r="Z836" s="165"/>
    </row>
    <row r="837" spans="1:26" ht="12.75" customHeight="1">
      <c r="A837" s="165"/>
      <c r="B837" s="165"/>
      <c r="C837" s="165"/>
      <c r="D837" s="165"/>
      <c r="E837" s="165"/>
      <c r="F837" s="165"/>
      <c r="G837" s="165"/>
      <c r="H837" s="165"/>
      <c r="I837" s="165"/>
      <c r="J837" s="165"/>
      <c r="K837" s="165"/>
      <c r="L837" s="165"/>
      <c r="M837" s="165"/>
      <c r="N837" s="165"/>
      <c r="O837" s="165"/>
      <c r="P837" s="165"/>
      <c r="Q837" s="165"/>
      <c r="R837" s="165"/>
      <c r="S837" s="165"/>
      <c r="T837" s="165"/>
      <c r="U837" s="165"/>
      <c r="V837" s="165"/>
      <c r="W837" s="165"/>
      <c r="X837" s="165"/>
      <c r="Y837" s="165"/>
      <c r="Z837" s="165"/>
    </row>
    <row r="838" spans="1:26" ht="12.75" customHeight="1">
      <c r="A838" s="165"/>
      <c r="B838" s="165"/>
      <c r="C838" s="165"/>
      <c r="D838" s="165"/>
      <c r="E838" s="165"/>
      <c r="F838" s="165"/>
      <c r="G838" s="165"/>
      <c r="H838" s="165"/>
      <c r="I838" s="165"/>
      <c r="J838" s="165"/>
      <c r="K838" s="165"/>
      <c r="L838" s="165"/>
      <c r="M838" s="165"/>
      <c r="N838" s="165"/>
      <c r="O838" s="165"/>
      <c r="P838" s="165"/>
      <c r="Q838" s="165"/>
      <c r="R838" s="165"/>
      <c r="S838" s="165"/>
      <c r="T838" s="165"/>
      <c r="U838" s="165"/>
      <c r="V838" s="165"/>
      <c r="W838" s="165"/>
      <c r="X838" s="165"/>
      <c r="Y838" s="165"/>
      <c r="Z838" s="165"/>
    </row>
    <row r="839" spans="1:26" ht="12.75" customHeight="1">
      <c r="A839" s="165"/>
      <c r="B839" s="165"/>
      <c r="C839" s="165"/>
      <c r="D839" s="165"/>
      <c r="E839" s="165"/>
      <c r="F839" s="165"/>
      <c r="G839" s="165"/>
      <c r="H839" s="165"/>
      <c r="I839" s="165"/>
      <c r="J839" s="165"/>
      <c r="K839" s="165"/>
      <c r="L839" s="165"/>
      <c r="M839" s="165"/>
      <c r="N839" s="165"/>
      <c r="O839" s="165"/>
      <c r="P839" s="165"/>
      <c r="Q839" s="165"/>
      <c r="R839" s="165"/>
      <c r="S839" s="165"/>
      <c r="T839" s="165"/>
      <c r="U839" s="165"/>
      <c r="V839" s="165"/>
      <c r="W839" s="165"/>
      <c r="X839" s="165"/>
      <c r="Y839" s="165"/>
      <c r="Z839" s="165"/>
    </row>
    <row r="840" spans="1:26" ht="12.75" customHeight="1">
      <c r="A840" s="165"/>
      <c r="B840" s="165"/>
      <c r="C840" s="165"/>
      <c r="D840" s="165"/>
      <c r="E840" s="165"/>
      <c r="F840" s="165"/>
      <c r="G840" s="165"/>
      <c r="H840" s="165"/>
      <c r="I840" s="165"/>
      <c r="J840" s="165"/>
      <c r="K840" s="165"/>
      <c r="L840" s="165"/>
      <c r="M840" s="165"/>
      <c r="N840" s="165"/>
      <c r="O840" s="165"/>
      <c r="P840" s="165"/>
      <c r="Q840" s="165"/>
      <c r="R840" s="165"/>
      <c r="S840" s="165"/>
      <c r="T840" s="165"/>
      <c r="U840" s="165"/>
      <c r="V840" s="165"/>
      <c r="W840" s="165"/>
      <c r="X840" s="165"/>
      <c r="Y840" s="165"/>
      <c r="Z840" s="165"/>
    </row>
    <row r="841" spans="1:26" ht="12.75" customHeight="1">
      <c r="A841" s="165"/>
      <c r="B841" s="165"/>
      <c r="C841" s="165"/>
      <c r="D841" s="165"/>
      <c r="E841" s="165"/>
      <c r="F841" s="165"/>
      <c r="G841" s="165"/>
      <c r="H841" s="165"/>
      <c r="I841" s="165"/>
      <c r="J841" s="165"/>
      <c r="K841" s="165"/>
      <c r="L841" s="165"/>
      <c r="M841" s="165"/>
      <c r="N841" s="165"/>
      <c r="O841" s="165"/>
      <c r="P841" s="165"/>
      <c r="Q841" s="165"/>
      <c r="R841" s="165"/>
      <c r="S841" s="165"/>
      <c r="T841" s="165"/>
      <c r="U841" s="165"/>
      <c r="V841" s="165"/>
      <c r="W841" s="165"/>
      <c r="X841" s="165"/>
      <c r="Y841" s="165"/>
      <c r="Z841" s="165"/>
    </row>
    <row r="842" spans="1:26" ht="12.75" customHeight="1">
      <c r="A842" s="165"/>
      <c r="B842" s="165"/>
      <c r="C842" s="165"/>
      <c r="D842" s="165"/>
      <c r="E842" s="165"/>
      <c r="F842" s="165"/>
      <c r="G842" s="165"/>
      <c r="H842" s="165"/>
      <c r="I842" s="165"/>
      <c r="J842" s="165"/>
      <c r="K842" s="165"/>
      <c r="L842" s="165"/>
      <c r="M842" s="165"/>
      <c r="N842" s="165"/>
      <c r="O842" s="165"/>
      <c r="P842" s="165"/>
      <c r="Q842" s="165"/>
      <c r="R842" s="165"/>
      <c r="S842" s="165"/>
      <c r="T842" s="165"/>
      <c r="U842" s="165"/>
      <c r="V842" s="165"/>
      <c r="W842" s="165"/>
      <c r="X842" s="165"/>
      <c r="Y842" s="165"/>
      <c r="Z842" s="165"/>
    </row>
    <row r="843" spans="1:26" ht="12.75" customHeight="1">
      <c r="A843" s="165"/>
      <c r="B843" s="165"/>
      <c r="C843" s="165"/>
      <c r="D843" s="165"/>
      <c r="E843" s="165"/>
      <c r="F843" s="165"/>
      <c r="G843" s="165"/>
      <c r="H843" s="165"/>
      <c r="I843" s="165"/>
      <c r="J843" s="165"/>
      <c r="K843" s="165"/>
      <c r="L843" s="165"/>
      <c r="M843" s="165"/>
      <c r="N843" s="165"/>
      <c r="O843" s="165"/>
      <c r="P843" s="165"/>
      <c r="Q843" s="165"/>
      <c r="R843" s="165"/>
      <c r="S843" s="165"/>
      <c r="T843" s="165"/>
      <c r="U843" s="165"/>
      <c r="V843" s="165"/>
      <c r="W843" s="165"/>
      <c r="X843" s="165"/>
      <c r="Y843" s="165"/>
      <c r="Z843" s="165"/>
    </row>
    <row r="844" spans="1:26" ht="12.75" customHeight="1">
      <c r="A844" s="165"/>
      <c r="B844" s="165"/>
      <c r="C844" s="165"/>
      <c r="D844" s="165"/>
      <c r="E844" s="165"/>
      <c r="F844" s="165"/>
      <c r="G844" s="165"/>
      <c r="H844" s="165"/>
      <c r="I844" s="165"/>
      <c r="J844" s="165"/>
      <c r="K844" s="165"/>
      <c r="L844" s="165"/>
      <c r="M844" s="165"/>
      <c r="N844" s="165"/>
      <c r="O844" s="165"/>
      <c r="P844" s="165"/>
      <c r="Q844" s="165"/>
      <c r="R844" s="165"/>
      <c r="S844" s="165"/>
      <c r="T844" s="165"/>
      <c r="U844" s="165"/>
      <c r="V844" s="165"/>
      <c r="W844" s="165"/>
      <c r="X844" s="165"/>
      <c r="Y844" s="165"/>
      <c r="Z844" s="165"/>
    </row>
    <row r="845" spans="1:26" ht="12.75" customHeight="1">
      <c r="A845" s="165"/>
      <c r="B845" s="165"/>
      <c r="C845" s="165"/>
      <c r="D845" s="165"/>
      <c r="E845" s="165"/>
      <c r="F845" s="165"/>
      <c r="G845" s="165"/>
      <c r="H845" s="165"/>
      <c r="I845" s="165"/>
      <c r="J845" s="165"/>
      <c r="K845" s="165"/>
      <c r="L845" s="165"/>
      <c r="M845" s="165"/>
      <c r="N845" s="165"/>
      <c r="O845" s="165"/>
      <c r="P845" s="165"/>
      <c r="Q845" s="165"/>
      <c r="R845" s="165"/>
      <c r="S845" s="165"/>
      <c r="T845" s="165"/>
      <c r="U845" s="165"/>
      <c r="V845" s="165"/>
      <c r="W845" s="165"/>
      <c r="X845" s="165"/>
      <c r="Y845" s="165"/>
      <c r="Z845" s="165"/>
    </row>
    <row r="846" spans="1:26" ht="12.75" customHeight="1">
      <c r="A846" s="165"/>
      <c r="B846" s="165"/>
      <c r="C846" s="165"/>
      <c r="D846" s="165"/>
      <c r="E846" s="165"/>
      <c r="F846" s="165"/>
      <c r="G846" s="165"/>
      <c r="H846" s="165"/>
      <c r="I846" s="165"/>
      <c r="J846" s="165"/>
      <c r="K846" s="165"/>
      <c r="L846" s="165"/>
      <c r="M846" s="165"/>
      <c r="N846" s="165"/>
      <c r="O846" s="165"/>
      <c r="P846" s="165"/>
      <c r="Q846" s="165"/>
      <c r="R846" s="165"/>
      <c r="S846" s="165"/>
      <c r="T846" s="165"/>
      <c r="U846" s="165"/>
      <c r="V846" s="165"/>
      <c r="W846" s="165"/>
      <c r="X846" s="165"/>
      <c r="Y846" s="165"/>
      <c r="Z846" s="165"/>
    </row>
    <row r="847" spans="1:26" ht="12.75" customHeight="1">
      <c r="A847" s="165"/>
      <c r="B847" s="165"/>
      <c r="C847" s="165"/>
      <c r="D847" s="165"/>
      <c r="E847" s="165"/>
      <c r="F847" s="165"/>
      <c r="G847" s="165"/>
      <c r="H847" s="165"/>
      <c r="I847" s="165"/>
      <c r="J847" s="165"/>
      <c r="K847" s="165"/>
      <c r="L847" s="165"/>
      <c r="M847" s="165"/>
      <c r="N847" s="165"/>
      <c r="O847" s="165"/>
      <c r="P847" s="165"/>
      <c r="Q847" s="165"/>
      <c r="R847" s="165"/>
      <c r="S847" s="165"/>
      <c r="T847" s="165"/>
      <c r="U847" s="165"/>
      <c r="V847" s="165"/>
      <c r="W847" s="165"/>
      <c r="X847" s="165"/>
      <c r="Y847" s="165"/>
      <c r="Z847" s="165"/>
    </row>
    <row r="848" spans="1:26" ht="12.75" customHeight="1">
      <c r="A848" s="165"/>
      <c r="B848" s="165"/>
      <c r="C848" s="165"/>
      <c r="D848" s="165"/>
      <c r="E848" s="165"/>
      <c r="F848" s="165"/>
      <c r="G848" s="165"/>
      <c r="H848" s="165"/>
      <c r="I848" s="165"/>
      <c r="J848" s="165"/>
      <c r="K848" s="165"/>
      <c r="L848" s="165"/>
      <c r="M848" s="165"/>
      <c r="N848" s="165"/>
      <c r="O848" s="165"/>
      <c r="P848" s="165"/>
      <c r="Q848" s="165"/>
      <c r="R848" s="165"/>
      <c r="S848" s="165"/>
      <c r="T848" s="165"/>
      <c r="U848" s="165"/>
      <c r="V848" s="165"/>
      <c r="W848" s="165"/>
      <c r="X848" s="165"/>
      <c r="Y848" s="165"/>
      <c r="Z848" s="165"/>
    </row>
    <row r="849" spans="1:26" ht="12.75" customHeight="1">
      <c r="A849" s="165"/>
      <c r="B849" s="165"/>
      <c r="C849" s="165"/>
      <c r="D849" s="165"/>
      <c r="E849" s="165"/>
      <c r="F849" s="165"/>
      <c r="G849" s="165"/>
      <c r="H849" s="165"/>
      <c r="I849" s="165"/>
      <c r="J849" s="165"/>
      <c r="K849" s="165"/>
      <c r="L849" s="165"/>
      <c r="M849" s="165"/>
      <c r="N849" s="165"/>
      <c r="O849" s="165"/>
      <c r="P849" s="165"/>
      <c r="Q849" s="165"/>
      <c r="R849" s="165"/>
      <c r="S849" s="165"/>
      <c r="T849" s="165"/>
      <c r="U849" s="165"/>
      <c r="V849" s="165"/>
      <c r="W849" s="165"/>
      <c r="X849" s="165"/>
      <c r="Y849" s="165"/>
      <c r="Z849" s="165"/>
    </row>
    <row r="850" spans="1:26" ht="12.75" customHeight="1">
      <c r="A850" s="165"/>
      <c r="B850" s="165"/>
      <c r="C850" s="165"/>
      <c r="D850" s="165"/>
      <c r="E850" s="165"/>
      <c r="F850" s="165"/>
      <c r="G850" s="165"/>
      <c r="H850" s="165"/>
      <c r="I850" s="165"/>
      <c r="J850" s="165"/>
      <c r="K850" s="165"/>
      <c r="L850" s="165"/>
      <c r="M850" s="165"/>
      <c r="N850" s="165"/>
      <c r="O850" s="165"/>
      <c r="P850" s="165"/>
      <c r="Q850" s="165"/>
      <c r="R850" s="165"/>
      <c r="S850" s="165"/>
      <c r="T850" s="165"/>
      <c r="U850" s="165"/>
      <c r="V850" s="165"/>
      <c r="W850" s="165"/>
      <c r="X850" s="165"/>
      <c r="Y850" s="165"/>
      <c r="Z850" s="165"/>
    </row>
    <row r="851" spans="1:26" ht="12.75" customHeight="1">
      <c r="A851" s="165"/>
      <c r="B851" s="165"/>
      <c r="C851" s="165"/>
      <c r="D851" s="165"/>
      <c r="E851" s="165"/>
      <c r="F851" s="165"/>
      <c r="G851" s="165"/>
      <c r="H851" s="165"/>
      <c r="I851" s="165"/>
      <c r="J851" s="165"/>
      <c r="K851" s="165"/>
      <c r="L851" s="165"/>
      <c r="M851" s="165"/>
      <c r="N851" s="165"/>
      <c r="O851" s="165"/>
      <c r="P851" s="165"/>
      <c r="Q851" s="165"/>
      <c r="R851" s="165"/>
      <c r="S851" s="165"/>
      <c r="T851" s="165"/>
      <c r="U851" s="165"/>
      <c r="V851" s="165"/>
      <c r="W851" s="165"/>
      <c r="X851" s="165"/>
      <c r="Y851" s="165"/>
      <c r="Z851" s="165"/>
    </row>
    <row r="852" spans="1:26" ht="12.75" customHeight="1">
      <c r="A852" s="165"/>
      <c r="B852" s="165"/>
      <c r="C852" s="165"/>
      <c r="D852" s="165"/>
      <c r="E852" s="165"/>
      <c r="F852" s="165"/>
      <c r="G852" s="165"/>
      <c r="H852" s="165"/>
      <c r="I852" s="165"/>
      <c r="J852" s="165"/>
      <c r="K852" s="165"/>
      <c r="L852" s="165"/>
      <c r="M852" s="165"/>
      <c r="N852" s="165"/>
      <c r="O852" s="165"/>
      <c r="P852" s="165"/>
      <c r="Q852" s="165"/>
      <c r="R852" s="165"/>
      <c r="S852" s="165"/>
      <c r="T852" s="165"/>
      <c r="U852" s="165"/>
      <c r="V852" s="165"/>
      <c r="W852" s="165"/>
      <c r="X852" s="165"/>
      <c r="Y852" s="165"/>
      <c r="Z852" s="165"/>
    </row>
    <row r="853" spans="1:26" ht="12.75" customHeight="1">
      <c r="A853" s="165"/>
      <c r="B853" s="165"/>
      <c r="C853" s="165"/>
      <c r="D853" s="165"/>
      <c r="E853" s="165"/>
      <c r="F853" s="165"/>
      <c r="G853" s="165"/>
      <c r="H853" s="165"/>
      <c r="I853" s="165"/>
      <c r="J853" s="165"/>
      <c r="K853" s="165"/>
      <c r="L853" s="165"/>
      <c r="M853" s="165"/>
      <c r="N853" s="165"/>
      <c r="O853" s="165"/>
      <c r="P853" s="165"/>
      <c r="Q853" s="165"/>
      <c r="R853" s="165"/>
      <c r="S853" s="165"/>
      <c r="T853" s="165"/>
      <c r="U853" s="165"/>
      <c r="V853" s="165"/>
      <c r="W853" s="165"/>
      <c r="X853" s="165"/>
      <c r="Y853" s="165"/>
      <c r="Z853" s="165"/>
    </row>
    <row r="854" spans="1:26" ht="12.75" customHeight="1">
      <c r="A854" s="165"/>
      <c r="B854" s="165"/>
      <c r="C854" s="165"/>
      <c r="D854" s="165"/>
      <c r="E854" s="165"/>
      <c r="F854" s="165"/>
      <c r="G854" s="165"/>
      <c r="H854" s="165"/>
      <c r="I854" s="165"/>
      <c r="J854" s="165"/>
      <c r="K854" s="165"/>
      <c r="L854" s="165"/>
      <c r="M854" s="165"/>
      <c r="N854" s="165"/>
      <c r="O854" s="165"/>
      <c r="P854" s="165"/>
      <c r="Q854" s="165"/>
      <c r="R854" s="165"/>
      <c r="S854" s="165"/>
      <c r="T854" s="165"/>
      <c r="U854" s="165"/>
      <c r="V854" s="165"/>
      <c r="W854" s="165"/>
      <c r="X854" s="165"/>
      <c r="Y854" s="165"/>
      <c r="Z854" s="165"/>
    </row>
    <row r="855" spans="1:26" ht="12.75" customHeight="1">
      <c r="A855" s="165"/>
      <c r="B855" s="165"/>
      <c r="C855" s="165"/>
      <c r="D855" s="165"/>
      <c r="E855" s="165"/>
      <c r="F855" s="165"/>
      <c r="G855" s="165"/>
      <c r="H855" s="165"/>
      <c r="I855" s="165"/>
      <c r="J855" s="165"/>
      <c r="K855" s="165"/>
      <c r="L855" s="165"/>
      <c r="M855" s="165"/>
      <c r="N855" s="165"/>
      <c r="O855" s="165"/>
      <c r="P855" s="165"/>
      <c r="Q855" s="165"/>
      <c r="R855" s="165"/>
      <c r="S855" s="165"/>
      <c r="T855" s="165"/>
      <c r="U855" s="165"/>
      <c r="V855" s="165"/>
      <c r="W855" s="165"/>
      <c r="X855" s="165"/>
      <c r="Y855" s="165"/>
      <c r="Z855" s="165"/>
    </row>
    <row r="856" spans="1:26" ht="12.75" customHeight="1">
      <c r="A856" s="165"/>
      <c r="B856" s="165"/>
      <c r="C856" s="165"/>
      <c r="D856" s="165"/>
      <c r="E856" s="165"/>
      <c r="F856" s="165"/>
      <c r="G856" s="165"/>
      <c r="H856" s="165"/>
      <c r="I856" s="165"/>
      <c r="J856" s="165"/>
      <c r="K856" s="165"/>
      <c r="L856" s="165"/>
      <c r="M856" s="165"/>
      <c r="N856" s="165"/>
      <c r="O856" s="165"/>
      <c r="P856" s="165"/>
      <c r="Q856" s="165"/>
      <c r="R856" s="165"/>
      <c r="S856" s="165"/>
      <c r="T856" s="165"/>
      <c r="U856" s="165"/>
      <c r="V856" s="165"/>
      <c r="W856" s="165"/>
      <c r="X856" s="165"/>
      <c r="Y856" s="165"/>
      <c r="Z856" s="165"/>
    </row>
    <row r="857" spans="1:26" ht="12.75" customHeight="1">
      <c r="A857" s="165"/>
      <c r="B857" s="165"/>
      <c r="C857" s="165"/>
      <c r="D857" s="165"/>
      <c r="E857" s="165"/>
      <c r="F857" s="165"/>
      <c r="G857" s="165"/>
      <c r="H857" s="165"/>
      <c r="I857" s="165"/>
      <c r="J857" s="165"/>
      <c r="K857" s="165"/>
      <c r="L857" s="165"/>
      <c r="M857" s="165"/>
      <c r="N857" s="165"/>
      <c r="O857" s="165"/>
      <c r="P857" s="165"/>
      <c r="Q857" s="165"/>
      <c r="R857" s="165"/>
      <c r="S857" s="165"/>
      <c r="T857" s="165"/>
      <c r="U857" s="165"/>
      <c r="V857" s="165"/>
      <c r="W857" s="165"/>
      <c r="X857" s="165"/>
      <c r="Y857" s="165"/>
      <c r="Z857" s="165"/>
    </row>
    <row r="858" spans="1:26" ht="12.75" customHeight="1">
      <c r="A858" s="165"/>
      <c r="B858" s="165"/>
      <c r="C858" s="165"/>
      <c r="D858" s="165"/>
      <c r="E858" s="165"/>
      <c r="F858" s="165"/>
      <c r="G858" s="165"/>
      <c r="H858" s="165"/>
      <c r="I858" s="165"/>
      <c r="J858" s="165"/>
      <c r="K858" s="165"/>
      <c r="L858" s="165"/>
      <c r="M858" s="165"/>
      <c r="N858" s="165"/>
      <c r="O858" s="165"/>
      <c r="P858" s="165"/>
      <c r="Q858" s="165"/>
      <c r="R858" s="165"/>
      <c r="S858" s="165"/>
      <c r="T858" s="165"/>
      <c r="U858" s="165"/>
      <c r="V858" s="165"/>
      <c r="W858" s="165"/>
      <c r="X858" s="165"/>
      <c r="Y858" s="165"/>
      <c r="Z858" s="165"/>
    </row>
    <row r="859" spans="1:26" ht="12.75" customHeight="1">
      <c r="A859" s="165"/>
      <c r="B859" s="165"/>
      <c r="C859" s="165"/>
      <c r="D859" s="165"/>
      <c r="E859" s="165"/>
      <c r="F859" s="165"/>
      <c r="G859" s="165"/>
      <c r="H859" s="165"/>
      <c r="I859" s="165"/>
      <c r="J859" s="165"/>
      <c r="K859" s="165"/>
      <c r="L859" s="165"/>
      <c r="M859" s="165"/>
      <c r="N859" s="165"/>
      <c r="O859" s="165"/>
      <c r="P859" s="165"/>
      <c r="Q859" s="165"/>
      <c r="R859" s="165"/>
      <c r="S859" s="165"/>
      <c r="T859" s="165"/>
      <c r="U859" s="165"/>
      <c r="V859" s="165"/>
      <c r="W859" s="165"/>
      <c r="X859" s="165"/>
      <c r="Y859" s="165"/>
      <c r="Z859" s="165"/>
    </row>
    <row r="860" spans="1:26" ht="12.75" customHeight="1">
      <c r="A860" s="165"/>
      <c r="B860" s="165"/>
      <c r="C860" s="165"/>
      <c r="D860" s="165"/>
      <c r="E860" s="165"/>
      <c r="F860" s="165"/>
      <c r="G860" s="165"/>
      <c r="H860" s="165"/>
      <c r="I860" s="165"/>
      <c r="J860" s="165"/>
      <c r="K860" s="165"/>
      <c r="L860" s="165"/>
      <c r="M860" s="165"/>
      <c r="N860" s="165"/>
      <c r="O860" s="165"/>
      <c r="P860" s="165"/>
      <c r="Q860" s="165"/>
      <c r="R860" s="165"/>
      <c r="S860" s="165"/>
      <c r="T860" s="165"/>
      <c r="U860" s="165"/>
      <c r="V860" s="165"/>
      <c r="W860" s="165"/>
      <c r="X860" s="165"/>
      <c r="Y860" s="165"/>
      <c r="Z860" s="165"/>
    </row>
    <row r="861" spans="1:26" ht="12.75" customHeight="1">
      <c r="A861" s="165"/>
      <c r="B861" s="165"/>
      <c r="C861" s="165"/>
      <c r="D861" s="165"/>
      <c r="E861" s="165"/>
      <c r="F861" s="165"/>
      <c r="G861" s="165"/>
      <c r="H861" s="165"/>
      <c r="I861" s="165"/>
      <c r="J861" s="165"/>
      <c r="K861" s="165"/>
      <c r="L861" s="165"/>
      <c r="M861" s="165"/>
      <c r="N861" s="165"/>
      <c r="O861" s="165"/>
      <c r="P861" s="165"/>
      <c r="Q861" s="165"/>
      <c r="R861" s="165"/>
      <c r="S861" s="165"/>
      <c r="T861" s="165"/>
      <c r="U861" s="165"/>
      <c r="V861" s="165"/>
      <c r="W861" s="165"/>
      <c r="X861" s="165"/>
      <c r="Y861" s="165"/>
      <c r="Z861" s="165"/>
    </row>
    <row r="862" spans="1:26" ht="12.75" customHeight="1">
      <c r="A862" s="165"/>
      <c r="B862" s="165"/>
      <c r="C862" s="165"/>
      <c r="D862" s="165"/>
      <c r="E862" s="165"/>
      <c r="F862" s="165"/>
      <c r="G862" s="165"/>
      <c r="H862" s="165"/>
      <c r="I862" s="165"/>
      <c r="J862" s="165"/>
      <c r="K862" s="165"/>
      <c r="L862" s="165"/>
      <c r="M862" s="165"/>
      <c r="N862" s="165"/>
      <c r="O862" s="165"/>
      <c r="P862" s="165"/>
      <c r="Q862" s="165"/>
      <c r="R862" s="165"/>
      <c r="S862" s="165"/>
      <c r="T862" s="165"/>
      <c r="U862" s="165"/>
      <c r="V862" s="165"/>
      <c r="W862" s="165"/>
      <c r="X862" s="165"/>
      <c r="Y862" s="165"/>
      <c r="Z862" s="165"/>
    </row>
    <row r="863" spans="1:26" ht="12.75" customHeight="1">
      <c r="A863" s="165"/>
      <c r="B863" s="165"/>
      <c r="C863" s="165"/>
      <c r="D863" s="165"/>
      <c r="E863" s="165"/>
      <c r="F863" s="165"/>
      <c r="G863" s="165"/>
      <c r="H863" s="165"/>
      <c r="I863" s="165"/>
      <c r="J863" s="165"/>
      <c r="K863" s="165"/>
      <c r="L863" s="165"/>
      <c r="M863" s="165"/>
      <c r="N863" s="165"/>
      <c r="O863" s="165"/>
      <c r="P863" s="165"/>
      <c r="Q863" s="165"/>
      <c r="R863" s="165"/>
      <c r="S863" s="165"/>
      <c r="T863" s="165"/>
      <c r="U863" s="165"/>
      <c r="V863" s="165"/>
      <c r="W863" s="165"/>
      <c r="X863" s="165"/>
      <c r="Y863" s="165"/>
      <c r="Z863" s="165"/>
    </row>
    <row r="864" spans="1:26" ht="12.75" customHeight="1">
      <c r="A864" s="165"/>
      <c r="B864" s="165"/>
      <c r="C864" s="165"/>
      <c r="D864" s="165"/>
      <c r="E864" s="165"/>
      <c r="F864" s="165"/>
      <c r="G864" s="165"/>
      <c r="H864" s="165"/>
      <c r="I864" s="165"/>
      <c r="J864" s="165"/>
      <c r="K864" s="165"/>
      <c r="L864" s="165"/>
      <c r="M864" s="165"/>
      <c r="N864" s="165"/>
      <c r="O864" s="165"/>
      <c r="P864" s="165"/>
      <c r="Q864" s="165"/>
      <c r="R864" s="165"/>
      <c r="S864" s="165"/>
      <c r="T864" s="165"/>
      <c r="U864" s="165"/>
      <c r="V864" s="165"/>
      <c r="W864" s="165"/>
      <c r="X864" s="165"/>
      <c r="Y864" s="165"/>
      <c r="Z864" s="165"/>
    </row>
    <row r="865" spans="1:26" ht="12.75" customHeight="1">
      <c r="A865" s="165"/>
      <c r="B865" s="165"/>
      <c r="C865" s="165"/>
      <c r="D865" s="165"/>
      <c r="E865" s="165"/>
      <c r="F865" s="165"/>
      <c r="G865" s="165"/>
      <c r="H865" s="165"/>
      <c r="I865" s="165"/>
      <c r="J865" s="165"/>
      <c r="K865" s="165"/>
      <c r="L865" s="165"/>
      <c r="M865" s="165"/>
      <c r="N865" s="165"/>
      <c r="O865" s="165"/>
      <c r="P865" s="165"/>
      <c r="Q865" s="165"/>
      <c r="R865" s="165"/>
      <c r="S865" s="165"/>
      <c r="T865" s="165"/>
      <c r="U865" s="165"/>
      <c r="V865" s="165"/>
      <c r="W865" s="165"/>
      <c r="X865" s="165"/>
      <c r="Y865" s="165"/>
      <c r="Z865" s="165"/>
    </row>
    <row r="866" spans="1:26" ht="12.75" customHeight="1">
      <c r="A866" s="165"/>
      <c r="B866" s="165"/>
      <c r="C866" s="165"/>
      <c r="D866" s="165"/>
      <c r="E866" s="165"/>
      <c r="F866" s="165"/>
      <c r="G866" s="165"/>
      <c r="H866" s="165"/>
      <c r="I866" s="165"/>
      <c r="J866" s="165"/>
      <c r="K866" s="165"/>
      <c r="L866" s="165"/>
      <c r="M866" s="165"/>
      <c r="N866" s="165"/>
      <c r="O866" s="165"/>
      <c r="P866" s="165"/>
      <c r="Q866" s="165"/>
      <c r="R866" s="165"/>
      <c r="S866" s="165"/>
      <c r="T866" s="165"/>
      <c r="U866" s="165"/>
      <c r="V866" s="165"/>
      <c r="W866" s="165"/>
      <c r="X866" s="165"/>
      <c r="Y866" s="165"/>
      <c r="Z866" s="165"/>
    </row>
    <row r="867" spans="1:26" ht="12.75" customHeight="1">
      <c r="A867" s="165"/>
      <c r="B867" s="165"/>
      <c r="C867" s="165"/>
      <c r="D867" s="165"/>
      <c r="E867" s="165"/>
      <c r="F867" s="165"/>
      <c r="G867" s="165"/>
      <c r="H867" s="165"/>
      <c r="I867" s="165"/>
      <c r="J867" s="165"/>
      <c r="K867" s="165"/>
      <c r="L867" s="165"/>
      <c r="M867" s="165"/>
      <c r="N867" s="165"/>
      <c r="O867" s="165"/>
      <c r="P867" s="165"/>
      <c r="Q867" s="165"/>
      <c r="R867" s="165"/>
      <c r="S867" s="165"/>
      <c r="T867" s="165"/>
      <c r="U867" s="165"/>
      <c r="V867" s="165"/>
      <c r="W867" s="165"/>
      <c r="X867" s="165"/>
      <c r="Y867" s="165"/>
      <c r="Z867" s="165"/>
    </row>
    <row r="868" spans="1:26" ht="12.75" customHeight="1">
      <c r="A868" s="165"/>
      <c r="B868" s="165"/>
      <c r="C868" s="165"/>
      <c r="D868" s="165"/>
      <c r="E868" s="165"/>
      <c r="F868" s="165"/>
      <c r="G868" s="165"/>
      <c r="H868" s="165"/>
      <c r="I868" s="165"/>
      <c r="J868" s="165"/>
      <c r="K868" s="165"/>
      <c r="L868" s="165"/>
      <c r="M868" s="165"/>
      <c r="N868" s="165"/>
      <c r="O868" s="165"/>
      <c r="P868" s="165"/>
      <c r="Q868" s="165"/>
      <c r="R868" s="165"/>
      <c r="S868" s="165"/>
      <c r="T868" s="165"/>
      <c r="U868" s="165"/>
      <c r="V868" s="165"/>
      <c r="W868" s="165"/>
      <c r="X868" s="165"/>
      <c r="Y868" s="165"/>
      <c r="Z868" s="165"/>
    </row>
    <row r="869" spans="1:26" ht="12.75" customHeight="1">
      <c r="A869" s="165"/>
      <c r="B869" s="165"/>
      <c r="C869" s="165"/>
      <c r="D869" s="165"/>
      <c r="E869" s="165"/>
      <c r="F869" s="165"/>
      <c r="G869" s="165"/>
      <c r="H869" s="165"/>
      <c r="I869" s="165"/>
      <c r="J869" s="165"/>
      <c r="K869" s="165"/>
      <c r="L869" s="165"/>
      <c r="M869" s="165"/>
      <c r="N869" s="165"/>
      <c r="O869" s="165"/>
      <c r="P869" s="165"/>
      <c r="Q869" s="165"/>
      <c r="R869" s="165"/>
      <c r="S869" s="165"/>
      <c r="T869" s="165"/>
      <c r="U869" s="165"/>
      <c r="V869" s="165"/>
      <c r="W869" s="165"/>
      <c r="X869" s="165"/>
      <c r="Y869" s="165"/>
      <c r="Z869" s="165"/>
    </row>
    <row r="870" spans="1:26" ht="12.75" customHeight="1">
      <c r="A870" s="165"/>
      <c r="B870" s="165"/>
      <c r="C870" s="165"/>
      <c r="D870" s="165"/>
      <c r="E870" s="165"/>
      <c r="F870" s="165"/>
      <c r="G870" s="165"/>
      <c r="H870" s="165"/>
      <c r="I870" s="165"/>
      <c r="J870" s="165"/>
      <c r="K870" s="165"/>
      <c r="L870" s="165"/>
      <c r="M870" s="165"/>
      <c r="N870" s="165"/>
      <c r="O870" s="165"/>
      <c r="P870" s="165"/>
      <c r="Q870" s="165"/>
      <c r="R870" s="165"/>
      <c r="S870" s="165"/>
      <c r="T870" s="165"/>
      <c r="U870" s="165"/>
      <c r="V870" s="165"/>
      <c r="W870" s="165"/>
      <c r="X870" s="165"/>
      <c r="Y870" s="165"/>
      <c r="Z870" s="165"/>
    </row>
    <row r="871" spans="1:26" ht="12.75" customHeight="1">
      <c r="A871" s="165"/>
      <c r="B871" s="165"/>
      <c r="C871" s="165"/>
      <c r="D871" s="165"/>
      <c r="E871" s="165"/>
      <c r="F871" s="165"/>
      <c r="G871" s="165"/>
      <c r="H871" s="165"/>
      <c r="I871" s="165"/>
      <c r="J871" s="165"/>
      <c r="K871" s="165"/>
      <c r="L871" s="165"/>
      <c r="M871" s="165"/>
      <c r="N871" s="165"/>
      <c r="O871" s="165"/>
      <c r="P871" s="165"/>
      <c r="Q871" s="165"/>
      <c r="R871" s="165"/>
      <c r="S871" s="165"/>
      <c r="T871" s="165"/>
      <c r="U871" s="165"/>
      <c r="V871" s="165"/>
      <c r="W871" s="165"/>
      <c r="X871" s="165"/>
      <c r="Y871" s="165"/>
      <c r="Z871" s="165"/>
    </row>
    <row r="872" spans="1:26" ht="12.75" customHeight="1">
      <c r="A872" s="165"/>
      <c r="B872" s="165"/>
      <c r="C872" s="165"/>
      <c r="D872" s="165"/>
      <c r="E872" s="165"/>
      <c r="F872" s="165"/>
      <c r="G872" s="165"/>
      <c r="H872" s="165"/>
      <c r="I872" s="165"/>
      <c r="J872" s="165"/>
      <c r="K872" s="165"/>
      <c r="L872" s="165"/>
      <c r="M872" s="165"/>
      <c r="N872" s="165"/>
      <c r="O872" s="165"/>
      <c r="P872" s="165"/>
      <c r="Q872" s="165"/>
      <c r="R872" s="165"/>
      <c r="S872" s="165"/>
      <c r="T872" s="165"/>
      <c r="U872" s="165"/>
      <c r="V872" s="165"/>
      <c r="W872" s="165"/>
      <c r="X872" s="165"/>
      <c r="Y872" s="165"/>
      <c r="Z872" s="165"/>
    </row>
    <row r="873" spans="1:26" ht="12.75" customHeight="1">
      <c r="A873" s="165"/>
      <c r="B873" s="165"/>
      <c r="C873" s="165"/>
      <c r="D873" s="165"/>
      <c r="E873" s="165"/>
      <c r="F873" s="165"/>
      <c r="G873" s="165"/>
      <c r="H873" s="165"/>
      <c r="I873" s="165"/>
      <c r="J873" s="165"/>
      <c r="K873" s="165"/>
      <c r="L873" s="165"/>
      <c r="M873" s="165"/>
      <c r="N873" s="165"/>
      <c r="O873" s="165"/>
      <c r="P873" s="165"/>
      <c r="Q873" s="165"/>
      <c r="R873" s="165"/>
      <c r="S873" s="165"/>
      <c r="T873" s="165"/>
      <c r="U873" s="165"/>
      <c r="V873" s="165"/>
      <c r="W873" s="165"/>
      <c r="X873" s="165"/>
      <c r="Y873" s="165"/>
      <c r="Z873" s="165"/>
    </row>
    <row r="874" spans="1:26" ht="12.75" customHeight="1">
      <c r="A874" s="165"/>
      <c r="B874" s="165"/>
      <c r="C874" s="165"/>
      <c r="D874" s="165"/>
      <c r="E874" s="165"/>
      <c r="F874" s="165"/>
      <c r="G874" s="165"/>
      <c r="H874" s="165"/>
      <c r="I874" s="165"/>
      <c r="J874" s="165"/>
      <c r="K874" s="165"/>
      <c r="L874" s="165"/>
      <c r="M874" s="165"/>
      <c r="N874" s="165"/>
      <c r="O874" s="165"/>
      <c r="P874" s="165"/>
      <c r="Q874" s="165"/>
      <c r="R874" s="165"/>
      <c r="S874" s="165"/>
      <c r="T874" s="165"/>
      <c r="U874" s="165"/>
      <c r="V874" s="165"/>
      <c r="W874" s="165"/>
      <c r="X874" s="165"/>
      <c r="Y874" s="165"/>
      <c r="Z874" s="165"/>
    </row>
    <row r="875" spans="1:26" ht="12.75" customHeight="1">
      <c r="A875" s="165"/>
      <c r="B875" s="165"/>
      <c r="C875" s="165"/>
      <c r="D875" s="165"/>
      <c r="E875" s="165"/>
      <c r="F875" s="165"/>
      <c r="G875" s="165"/>
      <c r="H875" s="165"/>
      <c r="I875" s="165"/>
      <c r="J875" s="165"/>
      <c r="K875" s="165"/>
      <c r="L875" s="165"/>
      <c r="M875" s="165"/>
      <c r="N875" s="165"/>
      <c r="O875" s="165"/>
      <c r="P875" s="165"/>
      <c r="Q875" s="165"/>
      <c r="R875" s="165"/>
      <c r="S875" s="165"/>
      <c r="T875" s="165"/>
      <c r="U875" s="165"/>
      <c r="V875" s="165"/>
      <c r="W875" s="165"/>
      <c r="X875" s="165"/>
      <c r="Y875" s="165"/>
      <c r="Z875" s="165"/>
    </row>
    <row r="876" spans="1:26" ht="12.75" customHeight="1">
      <c r="A876" s="165"/>
      <c r="B876" s="165"/>
      <c r="C876" s="165"/>
      <c r="D876" s="165"/>
      <c r="E876" s="165"/>
      <c r="F876" s="165"/>
      <c r="G876" s="165"/>
      <c r="H876" s="165"/>
      <c r="I876" s="165"/>
      <c r="J876" s="165"/>
      <c r="K876" s="165"/>
      <c r="L876" s="165"/>
      <c r="M876" s="165"/>
      <c r="N876" s="165"/>
      <c r="O876" s="165"/>
      <c r="P876" s="165"/>
      <c r="Q876" s="165"/>
      <c r="R876" s="165"/>
      <c r="S876" s="165"/>
      <c r="T876" s="165"/>
      <c r="U876" s="165"/>
      <c r="V876" s="165"/>
      <c r="W876" s="165"/>
      <c r="X876" s="165"/>
      <c r="Y876" s="165"/>
      <c r="Z876" s="165"/>
    </row>
    <row r="877" spans="1:26" ht="12.75" customHeight="1">
      <c r="A877" s="165"/>
      <c r="B877" s="165"/>
      <c r="C877" s="165"/>
      <c r="D877" s="165"/>
      <c r="E877" s="165"/>
      <c r="F877" s="165"/>
      <c r="G877" s="165"/>
      <c r="H877" s="165"/>
      <c r="I877" s="165"/>
      <c r="J877" s="165"/>
      <c r="K877" s="165"/>
      <c r="L877" s="165"/>
      <c r="M877" s="165"/>
      <c r="N877" s="165"/>
      <c r="O877" s="165"/>
      <c r="P877" s="165"/>
      <c r="Q877" s="165"/>
      <c r="R877" s="165"/>
      <c r="S877" s="165"/>
      <c r="T877" s="165"/>
      <c r="U877" s="165"/>
      <c r="V877" s="165"/>
      <c r="W877" s="165"/>
      <c r="X877" s="165"/>
      <c r="Y877" s="165"/>
      <c r="Z877" s="165"/>
    </row>
    <row r="878" spans="1:26" ht="12.75" customHeight="1">
      <c r="A878" s="165"/>
      <c r="B878" s="165"/>
      <c r="C878" s="165"/>
      <c r="D878" s="165"/>
      <c r="E878" s="165"/>
      <c r="F878" s="165"/>
      <c r="G878" s="165"/>
      <c r="H878" s="165"/>
      <c r="I878" s="165"/>
      <c r="J878" s="165"/>
      <c r="K878" s="165"/>
      <c r="L878" s="165"/>
      <c r="M878" s="165"/>
      <c r="N878" s="165"/>
      <c r="O878" s="165"/>
      <c r="P878" s="165"/>
      <c r="Q878" s="165"/>
      <c r="R878" s="165"/>
      <c r="S878" s="165"/>
      <c r="T878" s="165"/>
      <c r="U878" s="165"/>
      <c r="V878" s="165"/>
      <c r="W878" s="165"/>
      <c r="X878" s="165"/>
      <c r="Y878" s="165"/>
      <c r="Z878" s="165"/>
    </row>
    <row r="879" spans="1:26" ht="12.75" customHeight="1">
      <c r="A879" s="165"/>
      <c r="B879" s="165"/>
      <c r="C879" s="165"/>
      <c r="D879" s="165"/>
      <c r="E879" s="165"/>
      <c r="F879" s="165"/>
      <c r="G879" s="165"/>
      <c r="H879" s="165"/>
      <c r="I879" s="165"/>
      <c r="J879" s="165"/>
      <c r="K879" s="165"/>
      <c r="L879" s="165"/>
      <c r="M879" s="165"/>
      <c r="N879" s="165"/>
      <c r="O879" s="165"/>
      <c r="P879" s="165"/>
      <c r="Q879" s="165"/>
      <c r="R879" s="165"/>
      <c r="S879" s="165"/>
      <c r="T879" s="165"/>
      <c r="U879" s="165"/>
      <c r="V879" s="165"/>
      <c r="W879" s="165"/>
      <c r="X879" s="165"/>
      <c r="Y879" s="165"/>
      <c r="Z879" s="165"/>
    </row>
    <row r="880" spans="1:26" ht="12.75" customHeight="1">
      <c r="A880" s="165"/>
      <c r="B880" s="165"/>
      <c r="C880" s="165"/>
      <c r="D880" s="165"/>
      <c r="E880" s="165"/>
      <c r="F880" s="165"/>
      <c r="G880" s="165"/>
      <c r="H880" s="165"/>
      <c r="I880" s="165"/>
      <c r="J880" s="165"/>
      <c r="K880" s="165"/>
      <c r="L880" s="165"/>
      <c r="M880" s="165"/>
      <c r="N880" s="165"/>
      <c r="O880" s="165"/>
      <c r="P880" s="165"/>
      <c r="Q880" s="165"/>
      <c r="R880" s="165"/>
      <c r="S880" s="165"/>
      <c r="T880" s="165"/>
      <c r="U880" s="165"/>
      <c r="V880" s="165"/>
      <c r="W880" s="165"/>
      <c r="X880" s="165"/>
      <c r="Y880" s="165"/>
      <c r="Z880" s="165"/>
    </row>
    <row r="881" spans="1:26" ht="12.75" customHeight="1">
      <c r="A881" s="165"/>
      <c r="B881" s="165"/>
      <c r="C881" s="165"/>
      <c r="D881" s="165"/>
      <c r="E881" s="165"/>
      <c r="F881" s="165"/>
      <c r="G881" s="165"/>
      <c r="H881" s="165"/>
      <c r="I881" s="165"/>
      <c r="J881" s="165"/>
      <c r="K881" s="165"/>
      <c r="L881" s="165"/>
      <c r="M881" s="165"/>
      <c r="N881" s="165"/>
      <c r="O881" s="165"/>
      <c r="P881" s="165"/>
      <c r="Q881" s="165"/>
      <c r="R881" s="165"/>
      <c r="S881" s="165"/>
      <c r="T881" s="165"/>
      <c r="U881" s="165"/>
      <c r="V881" s="165"/>
      <c r="W881" s="165"/>
      <c r="X881" s="165"/>
      <c r="Y881" s="165"/>
      <c r="Z881" s="165"/>
    </row>
    <row r="882" spans="1:26" ht="12.75" customHeight="1">
      <c r="A882" s="165"/>
      <c r="B882" s="165"/>
      <c r="C882" s="165"/>
      <c r="D882" s="165"/>
      <c r="E882" s="165"/>
      <c r="F882" s="165"/>
      <c r="G882" s="165"/>
      <c r="H882" s="165"/>
      <c r="I882" s="165"/>
      <c r="J882" s="165"/>
      <c r="K882" s="165"/>
      <c r="L882" s="165"/>
      <c r="M882" s="165"/>
      <c r="N882" s="165"/>
      <c r="O882" s="165"/>
      <c r="P882" s="165"/>
      <c r="Q882" s="165"/>
      <c r="R882" s="165"/>
      <c r="S882" s="165"/>
      <c r="T882" s="165"/>
      <c r="U882" s="165"/>
      <c r="V882" s="165"/>
      <c r="W882" s="165"/>
      <c r="X882" s="165"/>
      <c r="Y882" s="165"/>
      <c r="Z882" s="165"/>
    </row>
    <row r="883" spans="1:26" ht="12.75" customHeight="1">
      <c r="A883" s="165"/>
      <c r="B883" s="165"/>
      <c r="C883" s="165"/>
      <c r="D883" s="165"/>
      <c r="E883" s="165"/>
      <c r="F883" s="165"/>
      <c r="G883" s="165"/>
      <c r="H883" s="165"/>
      <c r="I883" s="165"/>
      <c r="J883" s="165"/>
      <c r="K883" s="165"/>
      <c r="L883" s="165"/>
      <c r="M883" s="165"/>
      <c r="N883" s="165"/>
      <c r="O883" s="165"/>
      <c r="P883" s="165"/>
      <c r="Q883" s="165"/>
      <c r="R883" s="165"/>
      <c r="S883" s="165"/>
      <c r="T883" s="165"/>
      <c r="U883" s="165"/>
      <c r="V883" s="165"/>
      <c r="W883" s="165"/>
      <c r="X883" s="165"/>
      <c r="Y883" s="165"/>
      <c r="Z883" s="165"/>
    </row>
    <row r="884" spans="1:26" ht="12.75" customHeight="1">
      <c r="A884" s="165"/>
      <c r="B884" s="165"/>
      <c r="C884" s="165"/>
      <c r="D884" s="165"/>
      <c r="E884" s="165"/>
      <c r="F884" s="165"/>
      <c r="G884" s="165"/>
      <c r="H884" s="165"/>
      <c r="I884" s="165"/>
      <c r="J884" s="165"/>
      <c r="K884" s="165"/>
      <c r="L884" s="165"/>
      <c r="M884" s="165"/>
      <c r="N884" s="165"/>
      <c r="O884" s="165"/>
      <c r="P884" s="165"/>
      <c r="Q884" s="165"/>
      <c r="R884" s="165"/>
      <c r="S884" s="165"/>
      <c r="T884" s="165"/>
      <c r="U884" s="165"/>
      <c r="V884" s="165"/>
      <c r="W884" s="165"/>
      <c r="X884" s="165"/>
      <c r="Y884" s="165"/>
      <c r="Z884" s="165"/>
    </row>
    <row r="885" spans="1:26" ht="12.75" customHeight="1">
      <c r="A885" s="165"/>
      <c r="B885" s="165"/>
      <c r="C885" s="165"/>
      <c r="D885" s="165"/>
      <c r="E885" s="165"/>
      <c r="F885" s="165"/>
      <c r="G885" s="165"/>
      <c r="H885" s="165"/>
      <c r="I885" s="165"/>
      <c r="J885" s="165"/>
      <c r="K885" s="165"/>
      <c r="L885" s="165"/>
      <c r="M885" s="165"/>
      <c r="N885" s="165"/>
      <c r="O885" s="165"/>
      <c r="P885" s="165"/>
      <c r="Q885" s="165"/>
      <c r="R885" s="165"/>
      <c r="S885" s="165"/>
      <c r="T885" s="165"/>
      <c r="U885" s="165"/>
      <c r="V885" s="165"/>
      <c r="W885" s="165"/>
      <c r="X885" s="165"/>
      <c r="Y885" s="165"/>
      <c r="Z885" s="165"/>
    </row>
    <row r="886" spans="1:26" ht="12.75" customHeight="1">
      <c r="A886" s="165"/>
      <c r="B886" s="165"/>
      <c r="C886" s="165"/>
      <c r="D886" s="165"/>
      <c r="E886" s="165"/>
      <c r="F886" s="165"/>
      <c r="G886" s="165"/>
      <c r="H886" s="165"/>
      <c r="I886" s="165"/>
      <c r="J886" s="165"/>
      <c r="K886" s="165"/>
      <c r="L886" s="165"/>
      <c r="M886" s="165"/>
      <c r="N886" s="165"/>
      <c r="O886" s="165"/>
      <c r="P886" s="165"/>
      <c r="Q886" s="165"/>
      <c r="R886" s="165"/>
      <c r="S886" s="165"/>
      <c r="T886" s="165"/>
      <c r="U886" s="165"/>
      <c r="V886" s="165"/>
      <c r="W886" s="165"/>
      <c r="X886" s="165"/>
      <c r="Y886" s="165"/>
      <c r="Z886" s="165"/>
    </row>
    <row r="887" spans="1:26" ht="12.75" customHeight="1">
      <c r="A887" s="165"/>
      <c r="B887" s="165"/>
      <c r="C887" s="165"/>
      <c r="D887" s="165"/>
      <c r="E887" s="165"/>
      <c r="F887" s="165"/>
      <c r="G887" s="165"/>
      <c r="H887" s="165"/>
      <c r="I887" s="165"/>
      <c r="J887" s="165"/>
      <c r="K887" s="165"/>
      <c r="L887" s="165"/>
      <c r="M887" s="165"/>
      <c r="N887" s="165"/>
      <c r="O887" s="165"/>
      <c r="P887" s="165"/>
      <c r="Q887" s="165"/>
      <c r="R887" s="165"/>
      <c r="S887" s="165"/>
      <c r="T887" s="165"/>
      <c r="U887" s="165"/>
      <c r="V887" s="165"/>
      <c r="W887" s="165"/>
      <c r="X887" s="165"/>
      <c r="Y887" s="165"/>
      <c r="Z887" s="165"/>
    </row>
    <row r="888" spans="1:26" ht="12.75" customHeight="1">
      <c r="A888" s="165"/>
      <c r="B888" s="165"/>
      <c r="C888" s="165"/>
      <c r="D888" s="165"/>
      <c r="E888" s="165"/>
      <c r="F888" s="165"/>
      <c r="G888" s="165"/>
      <c r="H888" s="165"/>
      <c r="I888" s="165"/>
      <c r="J888" s="165"/>
      <c r="K888" s="165"/>
      <c r="L888" s="165"/>
      <c r="M888" s="165"/>
      <c r="N888" s="165"/>
      <c r="O888" s="165"/>
      <c r="P888" s="165"/>
      <c r="Q888" s="165"/>
      <c r="R888" s="165"/>
      <c r="S888" s="165"/>
      <c r="T888" s="165"/>
      <c r="U888" s="165"/>
      <c r="V888" s="165"/>
      <c r="W888" s="165"/>
      <c r="X888" s="165"/>
      <c r="Y888" s="165"/>
      <c r="Z888" s="165"/>
    </row>
    <row r="889" spans="1:26" ht="12.75" customHeight="1">
      <c r="A889" s="165"/>
      <c r="B889" s="165"/>
      <c r="C889" s="165"/>
      <c r="D889" s="165"/>
      <c r="E889" s="165"/>
      <c r="F889" s="165"/>
      <c r="G889" s="165"/>
      <c r="H889" s="165"/>
      <c r="I889" s="165"/>
      <c r="J889" s="165"/>
      <c r="K889" s="165"/>
      <c r="L889" s="165"/>
      <c r="M889" s="165"/>
      <c r="N889" s="165"/>
      <c r="O889" s="165"/>
      <c r="P889" s="165"/>
      <c r="Q889" s="165"/>
      <c r="R889" s="165"/>
      <c r="S889" s="165"/>
      <c r="T889" s="165"/>
      <c r="U889" s="165"/>
      <c r="V889" s="165"/>
      <c r="W889" s="165"/>
      <c r="X889" s="165"/>
      <c r="Y889" s="165"/>
      <c r="Z889" s="165"/>
    </row>
    <row r="890" spans="1:26" ht="12.75" customHeight="1">
      <c r="A890" s="165"/>
      <c r="B890" s="165"/>
      <c r="C890" s="165"/>
      <c r="D890" s="165"/>
      <c r="E890" s="165"/>
      <c r="F890" s="165"/>
      <c r="G890" s="165"/>
      <c r="H890" s="165"/>
      <c r="I890" s="165"/>
      <c r="J890" s="165"/>
      <c r="K890" s="165"/>
      <c r="L890" s="165"/>
      <c r="M890" s="165"/>
      <c r="N890" s="165"/>
      <c r="O890" s="165"/>
      <c r="P890" s="165"/>
      <c r="Q890" s="165"/>
      <c r="R890" s="165"/>
      <c r="S890" s="165"/>
      <c r="T890" s="165"/>
      <c r="U890" s="165"/>
      <c r="V890" s="165"/>
      <c r="W890" s="165"/>
      <c r="X890" s="165"/>
      <c r="Y890" s="165"/>
      <c r="Z890" s="165"/>
    </row>
    <row r="891" spans="1:26" ht="12.75" customHeight="1">
      <c r="A891" s="165"/>
      <c r="B891" s="165"/>
      <c r="C891" s="165"/>
      <c r="D891" s="165"/>
      <c r="E891" s="165"/>
      <c r="F891" s="165"/>
      <c r="G891" s="165"/>
      <c r="H891" s="165"/>
      <c r="I891" s="165"/>
      <c r="J891" s="165"/>
      <c r="K891" s="165"/>
      <c r="L891" s="165"/>
      <c r="M891" s="165"/>
      <c r="N891" s="165"/>
      <c r="O891" s="165"/>
      <c r="P891" s="165"/>
      <c r="Q891" s="165"/>
      <c r="R891" s="165"/>
      <c r="S891" s="165"/>
      <c r="T891" s="165"/>
      <c r="U891" s="165"/>
      <c r="V891" s="165"/>
      <c r="W891" s="165"/>
      <c r="X891" s="165"/>
      <c r="Y891" s="165"/>
      <c r="Z891" s="165"/>
    </row>
    <row r="892" spans="1:26" ht="12.75" customHeight="1">
      <c r="A892" s="165"/>
      <c r="B892" s="165"/>
      <c r="C892" s="165"/>
      <c r="D892" s="165"/>
      <c r="E892" s="165"/>
      <c r="F892" s="165"/>
      <c r="G892" s="165"/>
      <c r="H892" s="165"/>
      <c r="I892" s="165"/>
      <c r="J892" s="165"/>
      <c r="K892" s="165"/>
      <c r="L892" s="165"/>
      <c r="M892" s="165"/>
      <c r="N892" s="165"/>
      <c r="O892" s="165"/>
      <c r="P892" s="165"/>
      <c r="Q892" s="165"/>
      <c r="R892" s="165"/>
      <c r="S892" s="165"/>
      <c r="T892" s="165"/>
      <c r="U892" s="165"/>
      <c r="V892" s="165"/>
      <c r="W892" s="165"/>
      <c r="X892" s="165"/>
      <c r="Y892" s="165"/>
      <c r="Z892" s="165"/>
    </row>
    <row r="893" spans="1:26" ht="12.75" customHeight="1">
      <c r="A893" s="165"/>
      <c r="B893" s="165"/>
      <c r="C893" s="165"/>
      <c r="D893" s="165"/>
      <c r="E893" s="165"/>
      <c r="F893" s="165"/>
      <c r="G893" s="165"/>
      <c r="H893" s="165"/>
      <c r="I893" s="165"/>
      <c r="J893" s="165"/>
      <c r="K893" s="165"/>
      <c r="L893" s="165"/>
      <c r="M893" s="165"/>
      <c r="N893" s="165"/>
      <c r="O893" s="165"/>
      <c r="P893" s="165"/>
      <c r="Q893" s="165"/>
      <c r="R893" s="165"/>
      <c r="S893" s="165"/>
      <c r="T893" s="165"/>
      <c r="U893" s="165"/>
      <c r="V893" s="165"/>
      <c r="W893" s="165"/>
      <c r="X893" s="165"/>
      <c r="Y893" s="165"/>
      <c r="Z893" s="165"/>
    </row>
    <row r="894" spans="1:26" ht="12.75" customHeight="1">
      <c r="A894" s="165"/>
      <c r="B894" s="165"/>
      <c r="C894" s="165"/>
      <c r="D894" s="165"/>
      <c r="E894" s="165"/>
      <c r="F894" s="165"/>
      <c r="G894" s="165"/>
      <c r="H894" s="165"/>
      <c r="I894" s="165"/>
      <c r="J894" s="165"/>
      <c r="K894" s="165"/>
      <c r="L894" s="165"/>
      <c r="M894" s="165"/>
      <c r="N894" s="165"/>
      <c r="O894" s="165"/>
      <c r="P894" s="165"/>
      <c r="Q894" s="165"/>
      <c r="R894" s="165"/>
      <c r="S894" s="165"/>
      <c r="T894" s="165"/>
      <c r="U894" s="165"/>
      <c r="V894" s="165"/>
      <c r="W894" s="165"/>
      <c r="X894" s="165"/>
      <c r="Y894" s="165"/>
      <c r="Z894" s="165"/>
    </row>
    <row r="895" spans="1:26" ht="12.75" customHeight="1">
      <c r="A895" s="165"/>
      <c r="B895" s="165"/>
      <c r="C895" s="165"/>
      <c r="D895" s="165"/>
      <c r="E895" s="165"/>
      <c r="F895" s="165"/>
      <c r="G895" s="165"/>
      <c r="H895" s="165"/>
      <c r="I895" s="165"/>
      <c r="J895" s="165"/>
      <c r="K895" s="165"/>
      <c r="L895" s="165"/>
      <c r="M895" s="165"/>
      <c r="N895" s="165"/>
      <c r="O895" s="165"/>
      <c r="P895" s="165"/>
      <c r="Q895" s="165"/>
      <c r="R895" s="165"/>
      <c r="S895" s="165"/>
      <c r="T895" s="165"/>
      <c r="U895" s="165"/>
      <c r="V895" s="165"/>
      <c r="W895" s="165"/>
      <c r="X895" s="165"/>
      <c r="Y895" s="165"/>
      <c r="Z895" s="165"/>
    </row>
    <row r="896" spans="1:26" ht="12.75" customHeight="1">
      <c r="A896" s="165"/>
      <c r="B896" s="165"/>
      <c r="C896" s="165"/>
      <c r="D896" s="165"/>
      <c r="E896" s="165"/>
      <c r="F896" s="165"/>
      <c r="G896" s="165"/>
      <c r="H896" s="165"/>
      <c r="I896" s="165"/>
      <c r="J896" s="165"/>
      <c r="K896" s="165"/>
      <c r="L896" s="165"/>
      <c r="M896" s="165"/>
      <c r="N896" s="165"/>
      <c r="O896" s="165"/>
      <c r="P896" s="165"/>
      <c r="Q896" s="165"/>
      <c r="R896" s="165"/>
      <c r="S896" s="165"/>
      <c r="T896" s="165"/>
      <c r="U896" s="165"/>
      <c r="V896" s="165"/>
      <c r="W896" s="165"/>
      <c r="X896" s="165"/>
      <c r="Y896" s="165"/>
      <c r="Z896" s="165"/>
    </row>
    <row r="897" spans="1:26" ht="12.75" customHeight="1">
      <c r="A897" s="165"/>
      <c r="B897" s="165"/>
      <c r="C897" s="165"/>
      <c r="D897" s="165"/>
      <c r="E897" s="165"/>
      <c r="F897" s="165"/>
      <c r="G897" s="165"/>
      <c r="H897" s="165"/>
      <c r="I897" s="165"/>
      <c r="J897" s="165"/>
      <c r="K897" s="165"/>
      <c r="L897" s="165"/>
      <c r="M897" s="165"/>
      <c r="N897" s="165"/>
      <c r="O897" s="165"/>
      <c r="P897" s="165"/>
      <c r="Q897" s="165"/>
      <c r="R897" s="165"/>
      <c r="S897" s="165"/>
      <c r="T897" s="165"/>
      <c r="U897" s="165"/>
      <c r="V897" s="165"/>
      <c r="W897" s="165"/>
      <c r="X897" s="165"/>
      <c r="Y897" s="165"/>
      <c r="Z897" s="165"/>
    </row>
    <row r="898" spans="1:26" ht="12.75" customHeight="1">
      <c r="A898" s="165"/>
      <c r="B898" s="165"/>
      <c r="C898" s="165"/>
      <c r="D898" s="165"/>
      <c r="E898" s="165"/>
      <c r="F898" s="165"/>
      <c r="G898" s="165"/>
      <c r="H898" s="165"/>
      <c r="I898" s="165"/>
      <c r="J898" s="165"/>
      <c r="K898" s="165"/>
      <c r="L898" s="165"/>
      <c r="M898" s="165"/>
      <c r="N898" s="165"/>
      <c r="O898" s="165"/>
      <c r="P898" s="165"/>
      <c r="Q898" s="165"/>
      <c r="R898" s="165"/>
      <c r="S898" s="165"/>
      <c r="T898" s="165"/>
      <c r="U898" s="165"/>
      <c r="V898" s="165"/>
      <c r="W898" s="165"/>
      <c r="X898" s="165"/>
      <c r="Y898" s="165"/>
      <c r="Z898" s="165"/>
    </row>
    <row r="899" spans="1:26" ht="12.75" customHeight="1">
      <c r="A899" s="165"/>
      <c r="B899" s="165"/>
      <c r="C899" s="165"/>
      <c r="D899" s="165"/>
      <c r="E899" s="165"/>
      <c r="F899" s="165"/>
      <c r="G899" s="165"/>
      <c r="H899" s="165"/>
      <c r="I899" s="165"/>
      <c r="J899" s="165"/>
      <c r="K899" s="165"/>
      <c r="L899" s="165"/>
      <c r="M899" s="165"/>
      <c r="N899" s="165"/>
      <c r="O899" s="165"/>
      <c r="P899" s="165"/>
      <c r="Q899" s="165"/>
      <c r="R899" s="165"/>
      <c r="S899" s="165"/>
      <c r="T899" s="165"/>
      <c r="U899" s="165"/>
      <c r="V899" s="165"/>
      <c r="W899" s="165"/>
      <c r="X899" s="165"/>
      <c r="Y899" s="165"/>
      <c r="Z899" s="165"/>
    </row>
    <row r="900" spans="1:26" ht="12.75" customHeight="1">
      <c r="A900" s="165"/>
      <c r="B900" s="165"/>
      <c r="C900" s="165"/>
      <c r="D900" s="165"/>
      <c r="E900" s="165"/>
      <c r="F900" s="165"/>
      <c r="G900" s="165"/>
      <c r="H900" s="165"/>
      <c r="I900" s="165"/>
      <c r="J900" s="165"/>
      <c r="K900" s="165"/>
      <c r="L900" s="165"/>
      <c r="M900" s="165"/>
      <c r="N900" s="165"/>
      <c r="O900" s="165"/>
      <c r="P900" s="165"/>
      <c r="Q900" s="165"/>
      <c r="R900" s="165"/>
      <c r="S900" s="165"/>
      <c r="T900" s="165"/>
      <c r="U900" s="165"/>
      <c r="V900" s="165"/>
      <c r="W900" s="165"/>
      <c r="X900" s="165"/>
      <c r="Y900" s="165"/>
      <c r="Z900" s="165"/>
    </row>
    <row r="901" spans="1:26" ht="12.75" customHeight="1">
      <c r="A901" s="165"/>
      <c r="B901" s="165"/>
      <c r="C901" s="165"/>
      <c r="D901" s="165"/>
      <c r="E901" s="165"/>
      <c r="F901" s="165"/>
      <c r="G901" s="165"/>
      <c r="H901" s="165"/>
      <c r="I901" s="165"/>
      <c r="J901" s="165"/>
      <c r="K901" s="165"/>
      <c r="L901" s="165"/>
      <c r="M901" s="165"/>
      <c r="N901" s="165"/>
      <c r="O901" s="165"/>
      <c r="P901" s="165"/>
      <c r="Q901" s="165"/>
      <c r="R901" s="165"/>
      <c r="S901" s="165"/>
      <c r="T901" s="165"/>
      <c r="U901" s="165"/>
      <c r="V901" s="165"/>
      <c r="W901" s="165"/>
      <c r="X901" s="165"/>
      <c r="Y901" s="165"/>
      <c r="Z901" s="165"/>
    </row>
    <row r="902" spans="1:26" ht="12.75" customHeight="1">
      <c r="A902" s="165"/>
      <c r="B902" s="165"/>
      <c r="C902" s="165"/>
      <c r="D902" s="165"/>
      <c r="E902" s="165"/>
      <c r="F902" s="165"/>
      <c r="G902" s="165"/>
      <c r="H902" s="165"/>
      <c r="I902" s="165"/>
      <c r="J902" s="165"/>
      <c r="K902" s="165"/>
      <c r="L902" s="165"/>
      <c r="M902" s="165"/>
      <c r="N902" s="165"/>
      <c r="O902" s="165"/>
      <c r="P902" s="165"/>
      <c r="Q902" s="165"/>
      <c r="R902" s="165"/>
      <c r="S902" s="165"/>
      <c r="T902" s="165"/>
      <c r="U902" s="165"/>
      <c r="V902" s="165"/>
      <c r="W902" s="165"/>
      <c r="X902" s="165"/>
      <c r="Y902" s="165"/>
      <c r="Z902" s="165"/>
    </row>
    <row r="903" spans="1:26" ht="12.75" customHeight="1">
      <c r="A903" s="165"/>
      <c r="B903" s="165"/>
      <c r="C903" s="165"/>
      <c r="D903" s="165"/>
      <c r="E903" s="165"/>
      <c r="F903" s="165"/>
      <c r="G903" s="165"/>
      <c r="H903" s="165"/>
      <c r="I903" s="165"/>
      <c r="J903" s="165"/>
      <c r="K903" s="165"/>
      <c r="L903" s="165"/>
      <c r="M903" s="165"/>
      <c r="N903" s="165"/>
      <c r="O903" s="165"/>
      <c r="P903" s="165"/>
      <c r="Q903" s="165"/>
      <c r="R903" s="165"/>
      <c r="S903" s="165"/>
      <c r="T903" s="165"/>
      <c r="U903" s="165"/>
      <c r="V903" s="165"/>
      <c r="W903" s="165"/>
      <c r="X903" s="165"/>
      <c r="Y903" s="165"/>
      <c r="Z903" s="165"/>
    </row>
    <row r="904" spans="1:26" ht="12.75" customHeight="1">
      <c r="A904" s="165"/>
      <c r="B904" s="165"/>
      <c r="C904" s="165"/>
      <c r="D904" s="165"/>
      <c r="E904" s="165"/>
      <c r="F904" s="165"/>
      <c r="G904" s="165"/>
      <c r="H904" s="165"/>
      <c r="I904" s="165"/>
      <c r="J904" s="165"/>
      <c r="K904" s="165"/>
      <c r="L904" s="165"/>
      <c r="M904" s="165"/>
      <c r="N904" s="165"/>
      <c r="O904" s="165"/>
      <c r="P904" s="165"/>
      <c r="Q904" s="165"/>
      <c r="R904" s="165"/>
      <c r="S904" s="165"/>
      <c r="T904" s="165"/>
      <c r="U904" s="165"/>
      <c r="V904" s="165"/>
      <c r="W904" s="165"/>
      <c r="X904" s="165"/>
      <c r="Y904" s="165"/>
      <c r="Z904" s="165"/>
    </row>
    <row r="905" spans="1:26" ht="12.75" customHeight="1">
      <c r="A905" s="165"/>
      <c r="B905" s="165"/>
      <c r="C905" s="165"/>
      <c r="D905" s="165"/>
      <c r="E905" s="165"/>
      <c r="F905" s="165"/>
      <c r="G905" s="165"/>
      <c r="H905" s="165"/>
      <c r="I905" s="165"/>
      <c r="J905" s="165"/>
      <c r="K905" s="165"/>
      <c r="L905" s="165"/>
      <c r="M905" s="165"/>
      <c r="N905" s="165"/>
      <c r="O905" s="165"/>
      <c r="P905" s="165"/>
      <c r="Q905" s="165"/>
      <c r="R905" s="165"/>
      <c r="S905" s="165"/>
      <c r="T905" s="165"/>
      <c r="U905" s="165"/>
      <c r="V905" s="165"/>
      <c r="W905" s="165"/>
      <c r="X905" s="165"/>
      <c r="Y905" s="165"/>
      <c r="Z905" s="165"/>
    </row>
    <row r="906" spans="1:26" ht="12.75" customHeight="1">
      <c r="A906" s="165"/>
      <c r="B906" s="165"/>
      <c r="C906" s="165"/>
      <c r="D906" s="165"/>
      <c r="E906" s="165"/>
      <c r="F906" s="165"/>
      <c r="G906" s="165"/>
      <c r="H906" s="165"/>
      <c r="I906" s="165"/>
      <c r="J906" s="165"/>
      <c r="K906" s="165"/>
      <c r="L906" s="165"/>
      <c r="M906" s="165"/>
      <c r="N906" s="165"/>
      <c r="O906" s="165"/>
      <c r="P906" s="165"/>
      <c r="Q906" s="165"/>
      <c r="R906" s="165"/>
      <c r="S906" s="165"/>
      <c r="T906" s="165"/>
      <c r="U906" s="165"/>
      <c r="V906" s="165"/>
      <c r="W906" s="165"/>
      <c r="X906" s="165"/>
      <c r="Y906" s="165"/>
      <c r="Z906" s="165"/>
    </row>
    <row r="907" spans="1:26" ht="12.75" customHeight="1">
      <c r="A907" s="165"/>
      <c r="B907" s="165"/>
      <c r="C907" s="165"/>
      <c r="D907" s="165"/>
      <c r="E907" s="165"/>
      <c r="F907" s="165"/>
      <c r="G907" s="165"/>
      <c r="H907" s="165"/>
      <c r="I907" s="165"/>
      <c r="J907" s="165"/>
      <c r="K907" s="165"/>
      <c r="L907" s="165"/>
      <c r="M907" s="165"/>
      <c r="N907" s="165"/>
      <c r="O907" s="165"/>
      <c r="P907" s="165"/>
      <c r="Q907" s="165"/>
      <c r="R907" s="165"/>
      <c r="S907" s="165"/>
      <c r="T907" s="165"/>
      <c r="U907" s="165"/>
      <c r="V907" s="165"/>
      <c r="W907" s="165"/>
      <c r="X907" s="165"/>
      <c r="Y907" s="165"/>
      <c r="Z907" s="165"/>
    </row>
    <row r="908" spans="1:26" ht="12.75" customHeight="1">
      <c r="A908" s="165"/>
      <c r="B908" s="165"/>
      <c r="C908" s="165"/>
      <c r="D908" s="165"/>
      <c r="E908" s="165"/>
      <c r="F908" s="165"/>
      <c r="G908" s="165"/>
      <c r="H908" s="165"/>
      <c r="I908" s="165"/>
      <c r="J908" s="165"/>
      <c r="K908" s="165"/>
      <c r="L908" s="165"/>
      <c r="M908" s="165"/>
      <c r="N908" s="165"/>
      <c r="O908" s="165"/>
      <c r="P908" s="165"/>
      <c r="Q908" s="165"/>
      <c r="R908" s="165"/>
      <c r="S908" s="165"/>
      <c r="T908" s="165"/>
      <c r="U908" s="165"/>
      <c r="V908" s="165"/>
      <c r="W908" s="165"/>
      <c r="X908" s="165"/>
      <c r="Y908" s="165"/>
      <c r="Z908" s="165"/>
    </row>
    <row r="909" spans="1:26" ht="12.75" customHeight="1">
      <c r="A909" s="165"/>
      <c r="B909" s="165"/>
      <c r="C909" s="165"/>
      <c r="D909" s="165"/>
      <c r="E909" s="165"/>
      <c r="F909" s="165"/>
      <c r="G909" s="165"/>
      <c r="H909" s="165"/>
      <c r="I909" s="165"/>
      <c r="J909" s="165"/>
      <c r="K909" s="165"/>
      <c r="L909" s="165"/>
      <c r="M909" s="165"/>
      <c r="N909" s="165"/>
      <c r="O909" s="165"/>
      <c r="P909" s="165"/>
      <c r="Q909" s="165"/>
      <c r="R909" s="165"/>
      <c r="S909" s="165"/>
      <c r="T909" s="165"/>
      <c r="U909" s="165"/>
      <c r="V909" s="165"/>
      <c r="W909" s="165"/>
      <c r="X909" s="165"/>
      <c r="Y909" s="165"/>
      <c r="Z909" s="165"/>
    </row>
    <row r="910" spans="1:26" ht="12.75" customHeight="1">
      <c r="A910" s="165"/>
      <c r="B910" s="165"/>
      <c r="C910" s="165"/>
      <c r="D910" s="165"/>
      <c r="E910" s="165"/>
      <c r="F910" s="165"/>
      <c r="G910" s="165"/>
      <c r="H910" s="165"/>
      <c r="I910" s="165"/>
      <c r="J910" s="165"/>
      <c r="K910" s="165"/>
      <c r="L910" s="165"/>
      <c r="M910" s="165"/>
      <c r="N910" s="165"/>
      <c r="O910" s="165"/>
      <c r="P910" s="165"/>
      <c r="Q910" s="165"/>
      <c r="R910" s="165"/>
      <c r="S910" s="165"/>
      <c r="T910" s="165"/>
      <c r="U910" s="165"/>
      <c r="V910" s="165"/>
      <c r="W910" s="165"/>
      <c r="X910" s="165"/>
      <c r="Y910" s="165"/>
      <c r="Z910" s="165"/>
    </row>
    <row r="911" spans="1:26" ht="12.75" customHeight="1">
      <c r="A911" s="165"/>
      <c r="B911" s="165"/>
      <c r="C911" s="165"/>
      <c r="D911" s="165"/>
      <c r="E911" s="165"/>
      <c r="F911" s="165"/>
      <c r="G911" s="165"/>
      <c r="H911" s="165"/>
      <c r="I911" s="165"/>
      <c r="J911" s="165"/>
      <c r="K911" s="165"/>
      <c r="L911" s="165"/>
      <c r="M911" s="165"/>
      <c r="N911" s="165"/>
      <c r="O911" s="165"/>
      <c r="P911" s="165"/>
      <c r="Q911" s="165"/>
      <c r="R911" s="165"/>
      <c r="S911" s="165"/>
      <c r="T911" s="165"/>
      <c r="U911" s="165"/>
      <c r="V911" s="165"/>
      <c r="W911" s="165"/>
      <c r="X911" s="165"/>
      <c r="Y911" s="165"/>
      <c r="Z911" s="165"/>
    </row>
    <row r="912" spans="1:26" ht="12.75" customHeight="1">
      <c r="A912" s="165"/>
      <c r="B912" s="165"/>
      <c r="C912" s="165"/>
      <c r="D912" s="165"/>
      <c r="E912" s="165"/>
      <c r="F912" s="165"/>
      <c r="G912" s="165"/>
      <c r="H912" s="165"/>
      <c r="I912" s="165"/>
      <c r="J912" s="165"/>
      <c r="K912" s="165"/>
      <c r="L912" s="165"/>
      <c r="M912" s="165"/>
      <c r="N912" s="165"/>
      <c r="O912" s="165"/>
      <c r="P912" s="165"/>
      <c r="Q912" s="165"/>
      <c r="R912" s="165"/>
      <c r="S912" s="165"/>
      <c r="T912" s="165"/>
      <c r="U912" s="165"/>
      <c r="V912" s="165"/>
      <c r="W912" s="165"/>
      <c r="X912" s="165"/>
      <c r="Y912" s="165"/>
      <c r="Z912" s="165"/>
    </row>
    <row r="913" spans="1:26" ht="12.75" customHeight="1">
      <c r="A913" s="165"/>
      <c r="B913" s="165"/>
      <c r="C913" s="165"/>
      <c r="D913" s="165"/>
      <c r="E913" s="165"/>
      <c r="F913" s="165"/>
      <c r="G913" s="165"/>
      <c r="H913" s="165"/>
      <c r="I913" s="165"/>
      <c r="J913" s="165"/>
      <c r="K913" s="165"/>
      <c r="L913" s="165"/>
      <c r="M913" s="165"/>
      <c r="N913" s="165"/>
      <c r="O913" s="165"/>
      <c r="P913" s="165"/>
      <c r="Q913" s="165"/>
      <c r="R913" s="165"/>
      <c r="S913" s="165"/>
      <c r="T913" s="165"/>
      <c r="U913" s="165"/>
      <c r="V913" s="165"/>
      <c r="W913" s="165"/>
      <c r="X913" s="165"/>
      <c r="Y913" s="165"/>
      <c r="Z913" s="165"/>
    </row>
    <row r="914" spans="1:26" ht="12.75" customHeight="1">
      <c r="A914" s="165"/>
      <c r="B914" s="165"/>
      <c r="C914" s="165"/>
      <c r="D914" s="165"/>
      <c r="E914" s="165"/>
      <c r="F914" s="165"/>
      <c r="G914" s="165"/>
      <c r="H914" s="165"/>
      <c r="I914" s="165"/>
      <c r="J914" s="165"/>
      <c r="K914" s="165"/>
      <c r="L914" s="165"/>
      <c r="M914" s="165"/>
      <c r="N914" s="165"/>
      <c r="O914" s="165"/>
      <c r="P914" s="165"/>
      <c r="Q914" s="165"/>
      <c r="R914" s="165"/>
      <c r="S914" s="165"/>
      <c r="T914" s="165"/>
      <c r="U914" s="165"/>
      <c r="V914" s="165"/>
      <c r="W914" s="165"/>
      <c r="X914" s="165"/>
      <c r="Y914" s="165"/>
      <c r="Z914" s="165"/>
    </row>
    <row r="915" spans="1:26" ht="12.75" customHeight="1">
      <c r="A915" s="165"/>
      <c r="B915" s="165"/>
      <c r="C915" s="165"/>
      <c r="D915" s="165"/>
      <c r="E915" s="165"/>
      <c r="F915" s="165"/>
      <c r="G915" s="165"/>
      <c r="H915" s="165"/>
      <c r="I915" s="165"/>
      <c r="J915" s="165"/>
      <c r="K915" s="165"/>
      <c r="L915" s="165"/>
      <c r="M915" s="165"/>
      <c r="N915" s="165"/>
      <c r="O915" s="165"/>
      <c r="P915" s="165"/>
      <c r="Q915" s="165"/>
      <c r="R915" s="165"/>
      <c r="S915" s="165"/>
      <c r="T915" s="165"/>
      <c r="U915" s="165"/>
      <c r="V915" s="165"/>
      <c r="W915" s="165"/>
      <c r="X915" s="165"/>
      <c r="Y915" s="165"/>
      <c r="Z915" s="165"/>
    </row>
    <row r="916" spans="1:26" ht="12.75" customHeight="1">
      <c r="A916" s="165"/>
      <c r="B916" s="165"/>
      <c r="C916" s="165"/>
      <c r="D916" s="165"/>
      <c r="E916" s="165"/>
      <c r="F916" s="165"/>
      <c r="G916" s="165"/>
      <c r="H916" s="165"/>
      <c r="I916" s="165"/>
      <c r="J916" s="165"/>
      <c r="K916" s="165"/>
      <c r="L916" s="165"/>
      <c r="M916" s="165"/>
      <c r="N916" s="165"/>
      <c r="O916" s="165"/>
      <c r="P916" s="165"/>
      <c r="Q916" s="165"/>
      <c r="R916" s="165"/>
      <c r="S916" s="165"/>
      <c r="T916" s="165"/>
      <c r="U916" s="165"/>
      <c r="V916" s="165"/>
      <c r="W916" s="165"/>
      <c r="X916" s="165"/>
      <c r="Y916" s="165"/>
      <c r="Z916" s="165"/>
    </row>
    <row r="917" spans="1:26" ht="12.75" customHeight="1">
      <c r="A917" s="165"/>
      <c r="B917" s="165"/>
      <c r="C917" s="165"/>
      <c r="D917" s="165"/>
      <c r="E917" s="165"/>
      <c r="F917" s="165"/>
      <c r="G917" s="165"/>
      <c r="H917" s="165"/>
      <c r="I917" s="165"/>
      <c r="J917" s="165"/>
      <c r="K917" s="165"/>
      <c r="L917" s="165"/>
      <c r="M917" s="165"/>
      <c r="N917" s="165"/>
      <c r="O917" s="165"/>
      <c r="P917" s="165"/>
      <c r="Q917" s="165"/>
      <c r="R917" s="165"/>
      <c r="S917" s="165"/>
      <c r="T917" s="165"/>
      <c r="U917" s="165"/>
      <c r="V917" s="165"/>
      <c r="W917" s="165"/>
      <c r="X917" s="165"/>
      <c r="Y917" s="165"/>
      <c r="Z917" s="165"/>
    </row>
    <row r="918" spans="1:26" ht="12.75" customHeight="1">
      <c r="A918" s="165"/>
      <c r="B918" s="165"/>
      <c r="C918" s="165"/>
      <c r="D918" s="165"/>
      <c r="E918" s="165"/>
      <c r="F918" s="165"/>
      <c r="G918" s="165"/>
      <c r="H918" s="165"/>
      <c r="I918" s="165"/>
      <c r="J918" s="165"/>
      <c r="K918" s="165"/>
      <c r="L918" s="165"/>
      <c r="M918" s="165"/>
      <c r="N918" s="165"/>
      <c r="O918" s="165"/>
      <c r="P918" s="165"/>
      <c r="Q918" s="165"/>
      <c r="R918" s="165"/>
      <c r="S918" s="165"/>
      <c r="T918" s="165"/>
      <c r="U918" s="165"/>
      <c r="V918" s="165"/>
      <c r="W918" s="165"/>
      <c r="X918" s="165"/>
      <c r="Y918" s="165"/>
      <c r="Z918" s="165"/>
    </row>
    <row r="919" spans="1:26" ht="12.75" customHeight="1">
      <c r="A919" s="165"/>
      <c r="B919" s="165"/>
      <c r="C919" s="165"/>
      <c r="D919" s="165"/>
      <c r="E919" s="165"/>
      <c r="F919" s="165"/>
      <c r="G919" s="165"/>
      <c r="H919" s="165"/>
      <c r="I919" s="165"/>
      <c r="J919" s="165"/>
      <c r="K919" s="165"/>
      <c r="L919" s="165"/>
      <c r="M919" s="165"/>
      <c r="N919" s="165"/>
      <c r="O919" s="165"/>
      <c r="P919" s="165"/>
      <c r="Q919" s="165"/>
      <c r="R919" s="165"/>
      <c r="S919" s="165"/>
      <c r="T919" s="165"/>
      <c r="U919" s="165"/>
      <c r="V919" s="165"/>
      <c r="W919" s="165"/>
      <c r="X919" s="165"/>
      <c r="Y919" s="165"/>
      <c r="Z919" s="165"/>
    </row>
    <row r="920" spans="1:26" ht="12.75" customHeight="1">
      <c r="A920" s="165"/>
      <c r="B920" s="165"/>
      <c r="C920" s="165"/>
      <c r="D920" s="165"/>
      <c r="E920" s="165"/>
      <c r="F920" s="165"/>
      <c r="G920" s="165"/>
      <c r="H920" s="165"/>
      <c r="I920" s="165"/>
      <c r="J920" s="165"/>
      <c r="K920" s="165"/>
      <c r="L920" s="165"/>
      <c r="M920" s="165"/>
      <c r="N920" s="165"/>
      <c r="O920" s="165"/>
      <c r="P920" s="165"/>
      <c r="Q920" s="165"/>
      <c r="R920" s="165"/>
      <c r="S920" s="165"/>
      <c r="T920" s="165"/>
      <c r="U920" s="165"/>
      <c r="V920" s="165"/>
      <c r="W920" s="165"/>
      <c r="X920" s="165"/>
      <c r="Y920" s="165"/>
      <c r="Z920" s="165"/>
    </row>
    <row r="921" spans="1:26" ht="12.75" customHeight="1">
      <c r="A921" s="165"/>
      <c r="B921" s="165"/>
      <c r="C921" s="165"/>
      <c r="D921" s="165"/>
      <c r="E921" s="165"/>
      <c r="F921" s="165"/>
      <c r="G921" s="165"/>
      <c r="H921" s="165"/>
      <c r="I921" s="165"/>
      <c r="J921" s="165"/>
      <c r="K921" s="165"/>
      <c r="L921" s="165"/>
      <c r="M921" s="165"/>
      <c r="N921" s="165"/>
      <c r="O921" s="165"/>
      <c r="P921" s="165"/>
      <c r="Q921" s="165"/>
      <c r="R921" s="165"/>
      <c r="S921" s="165"/>
      <c r="T921" s="165"/>
      <c r="U921" s="165"/>
      <c r="V921" s="165"/>
      <c r="W921" s="165"/>
      <c r="X921" s="165"/>
      <c r="Y921" s="165"/>
      <c r="Z921" s="165"/>
    </row>
    <row r="922" spans="1:26" ht="12.75" customHeight="1">
      <c r="A922" s="165"/>
      <c r="B922" s="165"/>
      <c r="C922" s="165"/>
      <c r="D922" s="165"/>
      <c r="E922" s="165"/>
      <c r="F922" s="165"/>
      <c r="G922" s="165"/>
      <c r="H922" s="165"/>
      <c r="I922" s="165"/>
      <c r="J922" s="165"/>
      <c r="K922" s="165"/>
      <c r="L922" s="165"/>
      <c r="M922" s="165"/>
      <c r="N922" s="165"/>
      <c r="O922" s="165"/>
      <c r="P922" s="165"/>
      <c r="Q922" s="165"/>
      <c r="R922" s="165"/>
      <c r="S922" s="165"/>
      <c r="T922" s="165"/>
      <c r="U922" s="165"/>
      <c r="V922" s="165"/>
      <c r="W922" s="165"/>
      <c r="X922" s="165"/>
      <c r="Y922" s="165"/>
      <c r="Z922" s="165"/>
    </row>
    <row r="923" spans="1:26" ht="12.75" customHeight="1">
      <c r="A923" s="165"/>
      <c r="B923" s="165"/>
      <c r="C923" s="165"/>
      <c r="D923" s="165"/>
      <c r="E923" s="165"/>
      <c r="F923" s="165"/>
      <c r="G923" s="165"/>
      <c r="H923" s="165"/>
      <c r="I923" s="165"/>
      <c r="J923" s="165"/>
      <c r="K923" s="165"/>
      <c r="L923" s="165"/>
      <c r="M923" s="165"/>
      <c r="N923" s="165"/>
      <c r="O923" s="165"/>
      <c r="P923" s="165"/>
      <c r="Q923" s="165"/>
      <c r="R923" s="165"/>
      <c r="S923" s="165"/>
      <c r="T923" s="165"/>
      <c r="U923" s="165"/>
      <c r="V923" s="165"/>
      <c r="W923" s="165"/>
      <c r="X923" s="165"/>
      <c r="Y923" s="165"/>
      <c r="Z923" s="165"/>
    </row>
    <row r="924" spans="1:26" ht="12.75" customHeight="1">
      <c r="A924" s="165"/>
      <c r="B924" s="165"/>
      <c r="C924" s="165"/>
      <c r="D924" s="165"/>
      <c r="E924" s="165"/>
      <c r="F924" s="165"/>
      <c r="G924" s="165"/>
      <c r="H924" s="165"/>
      <c r="I924" s="165"/>
      <c r="J924" s="165"/>
      <c r="K924" s="165"/>
      <c r="L924" s="165"/>
      <c r="M924" s="165"/>
      <c r="N924" s="165"/>
      <c r="O924" s="165"/>
      <c r="P924" s="165"/>
      <c r="Q924" s="165"/>
      <c r="R924" s="165"/>
      <c r="S924" s="165"/>
      <c r="T924" s="165"/>
      <c r="U924" s="165"/>
      <c r="V924" s="165"/>
      <c r="W924" s="165"/>
      <c r="X924" s="165"/>
      <c r="Y924" s="165"/>
      <c r="Z924" s="165"/>
    </row>
    <row r="925" spans="1:26" ht="12.75" customHeight="1">
      <c r="A925" s="165"/>
      <c r="B925" s="165"/>
      <c r="C925" s="165"/>
      <c r="D925" s="165"/>
      <c r="E925" s="165"/>
      <c r="F925" s="165"/>
      <c r="G925" s="165"/>
      <c r="H925" s="165"/>
      <c r="I925" s="165"/>
      <c r="J925" s="165"/>
      <c r="K925" s="165"/>
      <c r="L925" s="165"/>
      <c r="M925" s="165"/>
      <c r="N925" s="165"/>
      <c r="O925" s="165"/>
      <c r="P925" s="165"/>
      <c r="Q925" s="165"/>
      <c r="R925" s="165"/>
      <c r="S925" s="165"/>
      <c r="T925" s="165"/>
      <c r="U925" s="165"/>
      <c r="V925" s="165"/>
      <c r="W925" s="165"/>
      <c r="X925" s="165"/>
      <c r="Y925" s="165"/>
      <c r="Z925" s="165"/>
    </row>
    <row r="926" spans="1:26" ht="12.75" customHeight="1">
      <c r="A926" s="165"/>
      <c r="B926" s="165"/>
      <c r="C926" s="165"/>
      <c r="D926" s="165"/>
      <c r="E926" s="165"/>
      <c r="F926" s="165"/>
      <c r="G926" s="165"/>
      <c r="H926" s="165"/>
      <c r="I926" s="165"/>
      <c r="J926" s="165"/>
      <c r="K926" s="165"/>
      <c r="L926" s="165"/>
      <c r="M926" s="165"/>
      <c r="N926" s="165"/>
      <c r="O926" s="165"/>
      <c r="P926" s="165"/>
      <c r="Q926" s="165"/>
      <c r="R926" s="165"/>
      <c r="S926" s="165"/>
      <c r="T926" s="165"/>
      <c r="U926" s="165"/>
      <c r="V926" s="165"/>
      <c r="W926" s="165"/>
      <c r="X926" s="165"/>
      <c r="Y926" s="165"/>
      <c r="Z926" s="165"/>
    </row>
    <row r="927" spans="1:26" ht="12.75" customHeight="1">
      <c r="A927" s="165"/>
      <c r="B927" s="165"/>
      <c r="C927" s="165"/>
      <c r="D927" s="165"/>
      <c r="E927" s="165"/>
      <c r="F927" s="165"/>
      <c r="G927" s="165"/>
      <c r="H927" s="165"/>
      <c r="I927" s="165"/>
      <c r="J927" s="165"/>
      <c r="K927" s="165"/>
      <c r="L927" s="165"/>
      <c r="M927" s="165"/>
      <c r="N927" s="165"/>
      <c r="O927" s="165"/>
      <c r="P927" s="165"/>
      <c r="Q927" s="165"/>
      <c r="R927" s="165"/>
      <c r="S927" s="165"/>
      <c r="T927" s="165"/>
      <c r="U927" s="165"/>
      <c r="V927" s="165"/>
      <c r="W927" s="165"/>
      <c r="X927" s="165"/>
      <c r="Y927" s="165"/>
      <c r="Z927" s="165"/>
    </row>
    <row r="928" spans="1:26" ht="12.75" customHeight="1">
      <c r="A928" s="165"/>
      <c r="B928" s="165"/>
      <c r="C928" s="165"/>
      <c r="D928" s="165"/>
      <c r="E928" s="165"/>
      <c r="F928" s="165"/>
      <c r="G928" s="165"/>
      <c r="H928" s="165"/>
      <c r="I928" s="165"/>
      <c r="J928" s="165"/>
      <c r="K928" s="165"/>
      <c r="L928" s="165"/>
      <c r="M928" s="165"/>
      <c r="N928" s="165"/>
      <c r="O928" s="165"/>
      <c r="P928" s="165"/>
      <c r="Q928" s="165"/>
      <c r="R928" s="165"/>
      <c r="S928" s="165"/>
      <c r="T928" s="165"/>
      <c r="U928" s="165"/>
      <c r="V928" s="165"/>
      <c r="W928" s="165"/>
      <c r="X928" s="165"/>
      <c r="Y928" s="165"/>
      <c r="Z928" s="165"/>
    </row>
    <row r="929" spans="1:26" ht="12.75" customHeight="1">
      <c r="A929" s="165"/>
      <c r="B929" s="165"/>
      <c r="C929" s="165"/>
      <c r="D929" s="165"/>
      <c r="E929" s="165"/>
      <c r="F929" s="165"/>
      <c r="G929" s="165"/>
      <c r="H929" s="165"/>
      <c r="I929" s="165"/>
      <c r="J929" s="165"/>
      <c r="K929" s="165"/>
      <c r="L929" s="165"/>
      <c r="M929" s="165"/>
      <c r="N929" s="165"/>
      <c r="O929" s="165"/>
      <c r="P929" s="165"/>
      <c r="Q929" s="165"/>
      <c r="R929" s="165"/>
      <c r="S929" s="165"/>
      <c r="T929" s="165"/>
      <c r="U929" s="165"/>
      <c r="V929" s="165"/>
      <c r="W929" s="165"/>
      <c r="X929" s="165"/>
      <c r="Y929" s="165"/>
      <c r="Z929" s="165"/>
    </row>
    <row r="930" spans="1:26" ht="12.75" customHeight="1">
      <c r="A930" s="165"/>
      <c r="B930" s="165"/>
      <c r="C930" s="165"/>
      <c r="D930" s="165"/>
      <c r="E930" s="165"/>
      <c r="F930" s="165"/>
      <c r="G930" s="165"/>
      <c r="H930" s="165"/>
      <c r="I930" s="165"/>
      <c r="J930" s="165"/>
      <c r="K930" s="165"/>
      <c r="L930" s="165"/>
      <c r="M930" s="165"/>
      <c r="N930" s="165"/>
      <c r="O930" s="165"/>
      <c r="P930" s="165"/>
      <c r="Q930" s="165"/>
      <c r="R930" s="165"/>
      <c r="S930" s="165"/>
      <c r="T930" s="165"/>
      <c r="U930" s="165"/>
      <c r="V930" s="165"/>
      <c r="W930" s="165"/>
      <c r="X930" s="165"/>
      <c r="Y930" s="165"/>
      <c r="Z930" s="165"/>
    </row>
    <row r="931" spans="1:26" ht="12.75" customHeight="1">
      <c r="A931" s="165"/>
      <c r="B931" s="165"/>
      <c r="C931" s="165"/>
      <c r="D931" s="165"/>
      <c r="E931" s="165"/>
      <c r="F931" s="165"/>
      <c r="G931" s="165"/>
      <c r="H931" s="165"/>
      <c r="I931" s="165"/>
      <c r="J931" s="165"/>
      <c r="K931" s="165"/>
      <c r="L931" s="165"/>
      <c r="M931" s="165"/>
      <c r="N931" s="165"/>
      <c r="O931" s="165"/>
      <c r="P931" s="165"/>
      <c r="Q931" s="165"/>
      <c r="R931" s="165"/>
      <c r="S931" s="165"/>
      <c r="T931" s="165"/>
      <c r="U931" s="165"/>
      <c r="V931" s="165"/>
      <c r="W931" s="165"/>
      <c r="X931" s="165"/>
      <c r="Y931" s="165"/>
      <c r="Z931" s="165"/>
    </row>
    <row r="932" spans="1:26" ht="12.75" customHeight="1">
      <c r="A932" s="165"/>
      <c r="B932" s="165"/>
      <c r="C932" s="165"/>
      <c r="D932" s="165"/>
      <c r="E932" s="165"/>
      <c r="F932" s="165"/>
      <c r="G932" s="165"/>
      <c r="H932" s="165"/>
      <c r="I932" s="165"/>
      <c r="J932" s="165"/>
      <c r="K932" s="165"/>
      <c r="L932" s="165"/>
      <c r="M932" s="165"/>
      <c r="N932" s="165"/>
      <c r="O932" s="165"/>
      <c r="P932" s="165"/>
      <c r="Q932" s="165"/>
      <c r="R932" s="165"/>
      <c r="S932" s="165"/>
      <c r="T932" s="165"/>
      <c r="U932" s="165"/>
      <c r="V932" s="165"/>
      <c r="W932" s="165"/>
      <c r="X932" s="165"/>
      <c r="Y932" s="165"/>
      <c r="Z932" s="165"/>
    </row>
    <row r="933" spans="1:26" ht="12.75" customHeight="1">
      <c r="A933" s="165"/>
      <c r="B933" s="165"/>
      <c r="C933" s="165"/>
      <c r="D933" s="165"/>
      <c r="E933" s="165"/>
      <c r="F933" s="165"/>
      <c r="G933" s="165"/>
      <c r="H933" s="165"/>
      <c r="I933" s="165"/>
      <c r="J933" s="165"/>
      <c r="K933" s="165"/>
      <c r="L933" s="165"/>
      <c r="M933" s="165"/>
      <c r="N933" s="165"/>
      <c r="O933" s="165"/>
      <c r="P933" s="165"/>
      <c r="Q933" s="165"/>
      <c r="R933" s="165"/>
      <c r="S933" s="165"/>
      <c r="T933" s="165"/>
      <c r="U933" s="165"/>
      <c r="V933" s="165"/>
      <c r="W933" s="165"/>
      <c r="X933" s="165"/>
      <c r="Y933" s="165"/>
      <c r="Z933" s="165"/>
    </row>
    <row r="934" spans="1:26" ht="12.75" customHeight="1">
      <c r="A934" s="165"/>
      <c r="B934" s="165"/>
      <c r="C934" s="165"/>
      <c r="D934" s="165"/>
      <c r="E934" s="165"/>
      <c r="F934" s="165"/>
      <c r="G934" s="165"/>
      <c r="H934" s="165"/>
      <c r="I934" s="165"/>
      <c r="J934" s="165"/>
      <c r="K934" s="165"/>
      <c r="L934" s="165"/>
      <c r="M934" s="165"/>
      <c r="N934" s="165"/>
      <c r="O934" s="165"/>
      <c r="P934" s="165"/>
      <c r="Q934" s="165"/>
      <c r="R934" s="165"/>
      <c r="S934" s="165"/>
      <c r="T934" s="165"/>
      <c r="U934" s="165"/>
      <c r="V934" s="165"/>
      <c r="W934" s="165"/>
      <c r="X934" s="165"/>
      <c r="Y934" s="165"/>
      <c r="Z934" s="165"/>
    </row>
    <row r="935" spans="1:26" ht="12.75" customHeight="1">
      <c r="A935" s="165"/>
      <c r="B935" s="165"/>
      <c r="C935" s="165"/>
      <c r="D935" s="165"/>
      <c r="E935" s="165"/>
      <c r="F935" s="165"/>
      <c r="G935" s="165"/>
      <c r="H935" s="165"/>
      <c r="I935" s="165"/>
      <c r="J935" s="165"/>
      <c r="K935" s="165"/>
      <c r="L935" s="165"/>
      <c r="M935" s="165"/>
      <c r="N935" s="165"/>
      <c r="O935" s="165"/>
      <c r="P935" s="165"/>
      <c r="Q935" s="165"/>
      <c r="R935" s="165"/>
      <c r="S935" s="165"/>
      <c r="T935" s="165"/>
      <c r="U935" s="165"/>
      <c r="V935" s="165"/>
      <c r="W935" s="165"/>
      <c r="X935" s="165"/>
      <c r="Y935" s="165"/>
      <c r="Z935" s="165"/>
    </row>
    <row r="936" spans="1:26" ht="12.75" customHeight="1">
      <c r="A936" s="165"/>
      <c r="B936" s="165"/>
      <c r="C936" s="165"/>
      <c r="D936" s="165"/>
      <c r="E936" s="165"/>
      <c r="F936" s="165"/>
      <c r="G936" s="165"/>
      <c r="H936" s="165"/>
      <c r="I936" s="165"/>
      <c r="J936" s="165"/>
      <c r="K936" s="165"/>
      <c r="L936" s="165"/>
      <c r="M936" s="165"/>
      <c r="N936" s="165"/>
      <c r="O936" s="165"/>
      <c r="P936" s="165"/>
      <c r="Q936" s="165"/>
      <c r="R936" s="165"/>
      <c r="S936" s="165"/>
      <c r="T936" s="165"/>
      <c r="U936" s="165"/>
      <c r="V936" s="165"/>
      <c r="W936" s="165"/>
      <c r="X936" s="165"/>
      <c r="Y936" s="165"/>
      <c r="Z936" s="165"/>
    </row>
    <row r="937" spans="1:26" ht="12.75" customHeight="1">
      <c r="A937" s="165"/>
      <c r="B937" s="165"/>
      <c r="C937" s="165"/>
      <c r="D937" s="165"/>
      <c r="E937" s="165"/>
      <c r="F937" s="165"/>
      <c r="G937" s="165"/>
      <c r="H937" s="165"/>
      <c r="I937" s="165"/>
      <c r="J937" s="165"/>
      <c r="K937" s="165"/>
      <c r="L937" s="165"/>
      <c r="M937" s="165"/>
      <c r="N937" s="165"/>
      <c r="O937" s="165"/>
      <c r="P937" s="165"/>
      <c r="Q937" s="165"/>
      <c r="R937" s="165"/>
      <c r="S937" s="165"/>
      <c r="T937" s="165"/>
      <c r="U937" s="165"/>
      <c r="V937" s="165"/>
      <c r="W937" s="165"/>
      <c r="X937" s="165"/>
      <c r="Y937" s="165"/>
      <c r="Z937" s="165"/>
    </row>
    <row r="938" spans="1:26" ht="12.75" customHeight="1">
      <c r="A938" s="165"/>
      <c r="B938" s="165"/>
      <c r="C938" s="165"/>
      <c r="D938" s="165"/>
      <c r="E938" s="165"/>
      <c r="F938" s="165"/>
      <c r="G938" s="165"/>
      <c r="H938" s="165"/>
      <c r="I938" s="165"/>
      <c r="J938" s="165"/>
      <c r="K938" s="165"/>
      <c r="L938" s="165"/>
      <c r="M938" s="165"/>
      <c r="N938" s="165"/>
      <c r="O938" s="165"/>
      <c r="P938" s="165"/>
      <c r="Q938" s="165"/>
      <c r="R938" s="165"/>
      <c r="S938" s="165"/>
      <c r="T938" s="165"/>
      <c r="U938" s="165"/>
      <c r="V938" s="165"/>
      <c r="W938" s="165"/>
      <c r="X938" s="165"/>
      <c r="Y938" s="165"/>
      <c r="Z938" s="165"/>
    </row>
    <row r="939" spans="1:26" ht="12.75" customHeight="1">
      <c r="A939" s="165"/>
      <c r="B939" s="165"/>
      <c r="C939" s="165"/>
      <c r="D939" s="165"/>
      <c r="E939" s="165"/>
      <c r="F939" s="165"/>
      <c r="G939" s="165"/>
      <c r="H939" s="165"/>
      <c r="I939" s="165"/>
      <c r="J939" s="165"/>
      <c r="K939" s="165"/>
      <c r="L939" s="165"/>
      <c r="M939" s="165"/>
      <c r="N939" s="165"/>
      <c r="O939" s="165"/>
      <c r="P939" s="165"/>
      <c r="Q939" s="165"/>
      <c r="R939" s="165"/>
      <c r="S939" s="165"/>
      <c r="T939" s="165"/>
      <c r="U939" s="165"/>
      <c r="V939" s="165"/>
      <c r="W939" s="165"/>
      <c r="X939" s="165"/>
      <c r="Y939" s="165"/>
      <c r="Z939" s="165"/>
    </row>
    <row r="940" spans="1:26" ht="12.75" customHeight="1">
      <c r="A940" s="165"/>
      <c r="B940" s="165"/>
      <c r="C940" s="165"/>
      <c r="D940" s="165"/>
      <c r="E940" s="165"/>
      <c r="F940" s="165"/>
      <c r="G940" s="165"/>
      <c r="H940" s="165"/>
      <c r="I940" s="165"/>
      <c r="J940" s="165"/>
      <c r="K940" s="165"/>
      <c r="L940" s="165"/>
      <c r="M940" s="165"/>
      <c r="N940" s="165"/>
      <c r="O940" s="165"/>
      <c r="P940" s="165"/>
      <c r="Q940" s="165"/>
      <c r="R940" s="165"/>
      <c r="S940" s="165"/>
      <c r="T940" s="165"/>
      <c r="U940" s="165"/>
      <c r="V940" s="165"/>
      <c r="W940" s="165"/>
      <c r="X940" s="165"/>
      <c r="Y940" s="165"/>
      <c r="Z940" s="165"/>
    </row>
    <row r="941" spans="1:26" ht="12.75" customHeight="1">
      <c r="A941" s="165"/>
      <c r="B941" s="165"/>
      <c r="C941" s="165"/>
      <c r="D941" s="165"/>
      <c r="E941" s="165"/>
      <c r="F941" s="165"/>
      <c r="G941" s="165"/>
      <c r="H941" s="165"/>
      <c r="I941" s="165"/>
      <c r="J941" s="165"/>
      <c r="K941" s="165"/>
      <c r="L941" s="165"/>
      <c r="M941" s="165"/>
      <c r="N941" s="165"/>
      <c r="O941" s="165"/>
      <c r="P941" s="165"/>
      <c r="Q941" s="165"/>
      <c r="R941" s="165"/>
      <c r="S941" s="165"/>
      <c r="T941" s="165"/>
      <c r="U941" s="165"/>
      <c r="V941" s="165"/>
      <c r="W941" s="165"/>
      <c r="X941" s="165"/>
      <c r="Y941" s="165"/>
      <c r="Z941" s="165"/>
    </row>
    <row r="942" spans="1:26" ht="12.75" customHeight="1">
      <c r="A942" s="165"/>
      <c r="B942" s="165"/>
      <c r="C942" s="165"/>
      <c r="D942" s="165"/>
      <c r="E942" s="165"/>
      <c r="F942" s="165"/>
      <c r="G942" s="165"/>
      <c r="H942" s="165"/>
      <c r="I942" s="165"/>
      <c r="J942" s="165"/>
      <c r="K942" s="165"/>
      <c r="L942" s="165"/>
      <c r="M942" s="165"/>
      <c r="N942" s="165"/>
      <c r="O942" s="165"/>
      <c r="P942" s="165"/>
      <c r="Q942" s="165"/>
      <c r="R942" s="165"/>
      <c r="S942" s="165"/>
      <c r="T942" s="165"/>
      <c r="U942" s="165"/>
      <c r="V942" s="165"/>
      <c r="W942" s="165"/>
      <c r="X942" s="165"/>
      <c r="Y942" s="165"/>
      <c r="Z942" s="165"/>
    </row>
    <row r="943" spans="1:26" ht="12.75" customHeight="1">
      <c r="A943" s="165"/>
      <c r="B943" s="165"/>
      <c r="C943" s="165"/>
      <c r="D943" s="165"/>
      <c r="E943" s="165"/>
      <c r="F943" s="165"/>
      <c r="G943" s="165"/>
      <c r="H943" s="165"/>
      <c r="I943" s="165"/>
      <c r="J943" s="165"/>
      <c r="K943" s="165"/>
      <c r="L943" s="165"/>
      <c r="M943" s="165"/>
      <c r="N943" s="165"/>
      <c r="O943" s="165"/>
      <c r="P943" s="165"/>
      <c r="Q943" s="165"/>
      <c r="R943" s="165"/>
      <c r="S943" s="165"/>
      <c r="T943" s="165"/>
      <c r="U943" s="165"/>
      <c r="V943" s="165"/>
      <c r="W943" s="165"/>
      <c r="X943" s="165"/>
      <c r="Y943" s="165"/>
      <c r="Z943" s="165"/>
    </row>
    <row r="944" spans="1:26" ht="12.75" customHeight="1">
      <c r="A944" s="165"/>
      <c r="B944" s="165"/>
      <c r="C944" s="165"/>
      <c r="D944" s="165"/>
      <c r="E944" s="165"/>
      <c r="F944" s="165"/>
      <c r="G944" s="165"/>
      <c r="H944" s="165"/>
      <c r="I944" s="165"/>
      <c r="J944" s="165"/>
      <c r="K944" s="165"/>
      <c r="L944" s="165"/>
      <c r="M944" s="165"/>
      <c r="N944" s="165"/>
      <c r="O944" s="165"/>
      <c r="P944" s="165"/>
      <c r="Q944" s="165"/>
      <c r="R944" s="165"/>
      <c r="S944" s="165"/>
      <c r="T944" s="165"/>
      <c r="U944" s="165"/>
      <c r="V944" s="165"/>
      <c r="W944" s="165"/>
      <c r="X944" s="165"/>
      <c r="Y944" s="165"/>
      <c r="Z944" s="165"/>
    </row>
    <row r="945" spans="1:26" ht="12.75" customHeight="1">
      <c r="A945" s="165"/>
      <c r="B945" s="165"/>
      <c r="C945" s="165"/>
      <c r="D945" s="165"/>
      <c r="E945" s="165"/>
      <c r="F945" s="165"/>
      <c r="G945" s="165"/>
      <c r="H945" s="165"/>
      <c r="I945" s="165"/>
      <c r="J945" s="165"/>
      <c r="K945" s="165"/>
      <c r="L945" s="165"/>
      <c r="M945" s="165"/>
      <c r="N945" s="165"/>
      <c r="O945" s="165"/>
      <c r="P945" s="165"/>
      <c r="Q945" s="165"/>
      <c r="R945" s="165"/>
      <c r="S945" s="165"/>
      <c r="T945" s="165"/>
      <c r="U945" s="165"/>
      <c r="V945" s="165"/>
      <c r="W945" s="165"/>
      <c r="X945" s="165"/>
      <c r="Y945" s="165"/>
      <c r="Z945" s="165"/>
    </row>
    <row r="946" spans="1:26" ht="12.75" customHeight="1">
      <c r="A946" s="165"/>
      <c r="B946" s="165"/>
      <c r="C946" s="165"/>
      <c r="D946" s="165"/>
      <c r="E946" s="165"/>
      <c r="F946" s="165"/>
      <c r="G946" s="165"/>
      <c r="H946" s="165"/>
      <c r="I946" s="165"/>
      <c r="J946" s="165"/>
      <c r="K946" s="165"/>
      <c r="L946" s="165"/>
      <c r="M946" s="165"/>
      <c r="N946" s="165"/>
      <c r="O946" s="165"/>
      <c r="P946" s="165"/>
      <c r="Q946" s="165"/>
      <c r="R946" s="165"/>
      <c r="S946" s="165"/>
      <c r="T946" s="165"/>
      <c r="U946" s="165"/>
      <c r="V946" s="165"/>
      <c r="W946" s="165"/>
      <c r="X946" s="165"/>
      <c r="Y946" s="165"/>
      <c r="Z946" s="165"/>
    </row>
    <row r="947" spans="1:26" ht="12.75" customHeight="1">
      <c r="A947" s="165"/>
      <c r="B947" s="165"/>
      <c r="C947" s="165"/>
      <c r="D947" s="165"/>
      <c r="E947" s="165"/>
      <c r="F947" s="165"/>
      <c r="G947" s="165"/>
      <c r="H947" s="165"/>
      <c r="I947" s="165"/>
      <c r="J947" s="165"/>
      <c r="K947" s="165"/>
      <c r="L947" s="165"/>
      <c r="M947" s="165"/>
      <c r="N947" s="165"/>
      <c r="O947" s="165"/>
      <c r="P947" s="165"/>
      <c r="Q947" s="165"/>
      <c r="R947" s="165"/>
      <c r="S947" s="165"/>
      <c r="T947" s="165"/>
      <c r="U947" s="165"/>
      <c r="V947" s="165"/>
      <c r="W947" s="165"/>
      <c r="X947" s="165"/>
      <c r="Y947" s="165"/>
      <c r="Z947" s="165"/>
    </row>
    <row r="948" spans="1:26" ht="12.75" customHeight="1">
      <c r="A948" s="165"/>
      <c r="B948" s="165"/>
      <c r="C948" s="165"/>
      <c r="D948" s="165"/>
      <c r="E948" s="165"/>
      <c r="F948" s="165"/>
      <c r="G948" s="165"/>
      <c r="H948" s="165"/>
      <c r="I948" s="165"/>
      <c r="J948" s="165"/>
      <c r="K948" s="165"/>
      <c r="L948" s="165"/>
      <c r="M948" s="165"/>
      <c r="N948" s="165"/>
      <c r="O948" s="165"/>
      <c r="P948" s="165"/>
      <c r="Q948" s="165"/>
      <c r="R948" s="165"/>
      <c r="S948" s="165"/>
      <c r="T948" s="165"/>
      <c r="U948" s="165"/>
      <c r="V948" s="165"/>
      <c r="W948" s="165"/>
      <c r="X948" s="165"/>
      <c r="Y948" s="165"/>
      <c r="Z948" s="165"/>
    </row>
    <row r="949" spans="1:26" ht="12.75" customHeight="1">
      <c r="A949" s="165"/>
      <c r="B949" s="165"/>
      <c r="C949" s="165"/>
      <c r="D949" s="165"/>
      <c r="E949" s="165"/>
      <c r="F949" s="165"/>
      <c r="G949" s="165"/>
      <c r="H949" s="165"/>
      <c r="I949" s="165"/>
      <c r="J949" s="165"/>
      <c r="K949" s="165"/>
      <c r="L949" s="165"/>
      <c r="M949" s="165"/>
      <c r="N949" s="165"/>
      <c r="O949" s="165"/>
      <c r="P949" s="165"/>
      <c r="Q949" s="165"/>
      <c r="R949" s="165"/>
      <c r="S949" s="165"/>
      <c r="T949" s="165"/>
      <c r="U949" s="165"/>
      <c r="V949" s="165"/>
      <c r="W949" s="165"/>
      <c r="X949" s="165"/>
      <c r="Y949" s="165"/>
      <c r="Z949" s="165"/>
    </row>
    <row r="950" spans="1:26" ht="12.75" customHeight="1">
      <c r="A950" s="165"/>
      <c r="B950" s="165"/>
      <c r="C950" s="165"/>
      <c r="D950" s="165"/>
      <c r="E950" s="165"/>
      <c r="F950" s="165"/>
      <c r="G950" s="165"/>
      <c r="H950" s="165"/>
      <c r="I950" s="165"/>
      <c r="J950" s="165"/>
      <c r="K950" s="165"/>
      <c r="L950" s="165"/>
      <c r="M950" s="165"/>
      <c r="N950" s="165"/>
      <c r="O950" s="165"/>
      <c r="P950" s="165"/>
      <c r="Q950" s="165"/>
      <c r="R950" s="165"/>
      <c r="S950" s="165"/>
      <c r="T950" s="165"/>
      <c r="U950" s="165"/>
      <c r="V950" s="165"/>
      <c r="W950" s="165"/>
      <c r="X950" s="165"/>
      <c r="Y950" s="165"/>
      <c r="Z950" s="165"/>
    </row>
    <row r="951" spans="1:26" ht="12.75" customHeight="1">
      <c r="A951" s="165"/>
      <c r="B951" s="165"/>
      <c r="C951" s="165"/>
      <c r="D951" s="165"/>
      <c r="E951" s="165"/>
      <c r="F951" s="165"/>
      <c r="G951" s="165"/>
      <c r="H951" s="165"/>
      <c r="I951" s="165"/>
      <c r="J951" s="165"/>
      <c r="K951" s="165"/>
      <c r="L951" s="165"/>
      <c r="M951" s="165"/>
      <c r="N951" s="165"/>
      <c r="O951" s="165"/>
      <c r="P951" s="165"/>
      <c r="Q951" s="165"/>
      <c r="R951" s="165"/>
      <c r="S951" s="165"/>
      <c r="T951" s="165"/>
      <c r="U951" s="165"/>
      <c r="V951" s="165"/>
      <c r="W951" s="165"/>
      <c r="X951" s="165"/>
      <c r="Y951" s="165"/>
      <c r="Z951" s="165"/>
    </row>
    <row r="952" spans="1:26" ht="12.75" customHeight="1">
      <c r="A952" s="165"/>
      <c r="B952" s="165"/>
      <c r="C952" s="165"/>
      <c r="D952" s="165"/>
      <c r="E952" s="165"/>
      <c r="F952" s="165"/>
      <c r="G952" s="165"/>
      <c r="H952" s="165"/>
      <c r="I952" s="165"/>
      <c r="J952" s="165"/>
      <c r="K952" s="165"/>
      <c r="L952" s="165"/>
      <c r="M952" s="165"/>
      <c r="N952" s="165"/>
      <c r="O952" s="165"/>
      <c r="P952" s="165"/>
      <c r="Q952" s="165"/>
      <c r="R952" s="165"/>
      <c r="S952" s="165"/>
      <c r="T952" s="165"/>
      <c r="U952" s="165"/>
      <c r="V952" s="165"/>
      <c r="W952" s="165"/>
      <c r="X952" s="165"/>
      <c r="Y952" s="165"/>
      <c r="Z952" s="165"/>
    </row>
    <row r="953" spans="1:26" ht="12.75" customHeight="1">
      <c r="A953" s="165"/>
      <c r="B953" s="165"/>
      <c r="C953" s="165"/>
      <c r="D953" s="165"/>
      <c r="E953" s="165"/>
      <c r="F953" s="165"/>
      <c r="G953" s="165"/>
      <c r="H953" s="165"/>
      <c r="I953" s="165"/>
      <c r="J953" s="165"/>
      <c r="K953" s="165"/>
      <c r="L953" s="165"/>
      <c r="M953" s="165"/>
      <c r="N953" s="165"/>
      <c r="O953" s="165"/>
      <c r="P953" s="165"/>
      <c r="Q953" s="165"/>
      <c r="R953" s="165"/>
      <c r="S953" s="165"/>
      <c r="T953" s="165"/>
      <c r="U953" s="165"/>
      <c r="V953" s="165"/>
      <c r="W953" s="165"/>
      <c r="X953" s="165"/>
      <c r="Y953" s="165"/>
      <c r="Z953" s="165"/>
    </row>
    <row r="954" spans="1:26" ht="12.75" customHeight="1">
      <c r="A954" s="165"/>
      <c r="B954" s="165"/>
      <c r="C954" s="165"/>
      <c r="D954" s="165"/>
      <c r="E954" s="165"/>
      <c r="F954" s="165"/>
      <c r="G954" s="165"/>
      <c r="H954" s="165"/>
      <c r="I954" s="165"/>
      <c r="J954" s="165"/>
      <c r="K954" s="165"/>
      <c r="L954" s="165"/>
      <c r="M954" s="165"/>
      <c r="N954" s="165"/>
      <c r="O954" s="165"/>
      <c r="P954" s="165"/>
      <c r="Q954" s="165"/>
      <c r="R954" s="165"/>
      <c r="S954" s="165"/>
      <c r="T954" s="165"/>
      <c r="U954" s="165"/>
      <c r="V954" s="165"/>
      <c r="W954" s="165"/>
      <c r="X954" s="165"/>
      <c r="Y954" s="165"/>
      <c r="Z954" s="165"/>
    </row>
    <row r="955" spans="1:26" ht="12.75" customHeight="1">
      <c r="A955" s="165"/>
      <c r="B955" s="165"/>
      <c r="C955" s="165"/>
      <c r="D955" s="165"/>
      <c r="E955" s="165"/>
      <c r="F955" s="165"/>
      <c r="G955" s="165"/>
      <c r="H955" s="165"/>
      <c r="I955" s="165"/>
      <c r="J955" s="165"/>
      <c r="K955" s="165"/>
      <c r="L955" s="165"/>
      <c r="M955" s="165"/>
      <c r="N955" s="165"/>
      <c r="O955" s="165"/>
      <c r="P955" s="165"/>
      <c r="Q955" s="165"/>
      <c r="R955" s="165"/>
      <c r="S955" s="165"/>
      <c r="T955" s="165"/>
      <c r="U955" s="165"/>
      <c r="V955" s="165"/>
      <c r="W955" s="165"/>
      <c r="X955" s="165"/>
      <c r="Y955" s="165"/>
      <c r="Z955" s="165"/>
    </row>
    <row r="956" spans="1:26" ht="12.75" customHeight="1">
      <c r="A956" s="165"/>
      <c r="B956" s="165"/>
      <c r="C956" s="165"/>
      <c r="D956" s="165"/>
      <c r="E956" s="165"/>
      <c r="F956" s="165"/>
      <c r="G956" s="165"/>
      <c r="H956" s="165"/>
      <c r="I956" s="165"/>
      <c r="J956" s="165"/>
      <c r="K956" s="165"/>
      <c r="L956" s="165"/>
      <c r="M956" s="165"/>
      <c r="N956" s="165"/>
      <c r="O956" s="165"/>
      <c r="P956" s="165"/>
      <c r="Q956" s="165"/>
      <c r="R956" s="165"/>
      <c r="S956" s="165"/>
      <c r="T956" s="165"/>
      <c r="U956" s="165"/>
      <c r="V956" s="165"/>
      <c r="W956" s="165"/>
      <c r="X956" s="165"/>
      <c r="Y956" s="165"/>
      <c r="Z956" s="165"/>
    </row>
    <row r="957" spans="1:26" ht="12.75" customHeight="1">
      <c r="A957" s="165"/>
      <c r="B957" s="165"/>
      <c r="C957" s="165"/>
      <c r="D957" s="165"/>
      <c r="E957" s="165"/>
      <c r="F957" s="165"/>
      <c r="G957" s="165"/>
      <c r="H957" s="165"/>
      <c r="I957" s="165"/>
      <c r="J957" s="165"/>
      <c r="K957" s="165"/>
      <c r="L957" s="165"/>
      <c r="M957" s="165"/>
      <c r="N957" s="165"/>
      <c r="O957" s="165"/>
      <c r="P957" s="165"/>
      <c r="Q957" s="165"/>
      <c r="R957" s="165"/>
      <c r="S957" s="165"/>
      <c r="T957" s="165"/>
      <c r="U957" s="165"/>
      <c r="V957" s="165"/>
      <c r="W957" s="165"/>
      <c r="X957" s="165"/>
      <c r="Y957" s="165"/>
      <c r="Z957" s="165"/>
    </row>
    <row r="958" spans="1:26" ht="12.75" customHeight="1">
      <c r="A958" s="165"/>
      <c r="B958" s="165"/>
      <c r="C958" s="165"/>
      <c r="D958" s="165"/>
      <c r="E958" s="165"/>
      <c r="F958" s="165"/>
      <c r="G958" s="165"/>
      <c r="H958" s="165"/>
      <c r="I958" s="165"/>
      <c r="J958" s="165"/>
      <c r="K958" s="165"/>
      <c r="L958" s="165"/>
      <c r="M958" s="165"/>
      <c r="N958" s="165"/>
      <c r="O958" s="165"/>
      <c r="P958" s="165"/>
      <c r="Q958" s="165"/>
      <c r="R958" s="165"/>
      <c r="S958" s="165"/>
      <c r="T958" s="165"/>
      <c r="U958" s="165"/>
      <c r="V958" s="165"/>
      <c r="W958" s="165"/>
      <c r="X958" s="165"/>
      <c r="Y958" s="165"/>
      <c r="Z958" s="165"/>
    </row>
    <row r="959" spans="1:26" ht="12.75" customHeight="1">
      <c r="A959" s="165"/>
      <c r="B959" s="165"/>
      <c r="C959" s="165"/>
      <c r="D959" s="165"/>
      <c r="E959" s="165"/>
      <c r="F959" s="165"/>
      <c r="G959" s="165"/>
      <c r="H959" s="165"/>
      <c r="I959" s="165"/>
      <c r="J959" s="165"/>
      <c r="K959" s="165"/>
      <c r="L959" s="165"/>
      <c r="M959" s="165"/>
      <c r="N959" s="165"/>
      <c r="O959" s="165"/>
      <c r="P959" s="165"/>
      <c r="Q959" s="165"/>
      <c r="R959" s="165"/>
      <c r="S959" s="165"/>
      <c r="T959" s="165"/>
      <c r="U959" s="165"/>
      <c r="V959" s="165"/>
      <c r="W959" s="165"/>
      <c r="X959" s="165"/>
      <c r="Y959" s="165"/>
      <c r="Z959" s="165"/>
    </row>
    <row r="960" spans="1:26" ht="12.75" customHeight="1">
      <c r="A960" s="165"/>
      <c r="B960" s="165"/>
      <c r="C960" s="165"/>
      <c r="D960" s="165"/>
      <c r="E960" s="165"/>
      <c r="F960" s="165"/>
      <c r="G960" s="165"/>
      <c r="H960" s="165"/>
      <c r="I960" s="165"/>
      <c r="J960" s="165"/>
      <c r="K960" s="165"/>
      <c r="L960" s="165"/>
      <c r="M960" s="165"/>
      <c r="N960" s="165"/>
      <c r="O960" s="165"/>
      <c r="P960" s="165"/>
      <c r="Q960" s="165"/>
      <c r="R960" s="165"/>
      <c r="S960" s="165"/>
      <c r="T960" s="165"/>
      <c r="U960" s="165"/>
      <c r="V960" s="165"/>
      <c r="W960" s="165"/>
      <c r="X960" s="165"/>
      <c r="Y960" s="165"/>
      <c r="Z960" s="165"/>
    </row>
    <row r="961" spans="1:26" ht="12.75" customHeight="1">
      <c r="A961" s="165"/>
      <c r="B961" s="165"/>
      <c r="C961" s="165"/>
      <c r="D961" s="165"/>
      <c r="E961" s="165"/>
      <c r="F961" s="165"/>
      <c r="G961" s="165"/>
      <c r="H961" s="165"/>
      <c r="I961" s="165"/>
      <c r="J961" s="165"/>
      <c r="K961" s="165"/>
      <c r="L961" s="165"/>
      <c r="M961" s="165"/>
      <c r="N961" s="165"/>
      <c r="O961" s="165"/>
      <c r="P961" s="165"/>
      <c r="Q961" s="165"/>
      <c r="R961" s="165"/>
      <c r="S961" s="165"/>
      <c r="T961" s="165"/>
      <c r="U961" s="165"/>
      <c r="V961" s="165"/>
      <c r="W961" s="165"/>
      <c r="X961" s="165"/>
      <c r="Y961" s="165"/>
      <c r="Z961" s="165"/>
    </row>
    <row r="962" spans="1:26" ht="12.75" customHeight="1">
      <c r="A962" s="165"/>
      <c r="B962" s="165"/>
      <c r="C962" s="165"/>
      <c r="D962" s="165"/>
      <c r="E962" s="165"/>
      <c r="F962" s="165"/>
      <c r="G962" s="165"/>
      <c r="H962" s="165"/>
      <c r="I962" s="165"/>
      <c r="J962" s="165"/>
      <c r="K962" s="165"/>
      <c r="L962" s="165"/>
      <c r="M962" s="165"/>
      <c r="N962" s="165"/>
      <c r="O962" s="165"/>
      <c r="P962" s="165"/>
      <c r="Q962" s="165"/>
      <c r="R962" s="165"/>
      <c r="S962" s="165"/>
      <c r="T962" s="165"/>
      <c r="U962" s="165"/>
      <c r="V962" s="165"/>
      <c r="W962" s="165"/>
      <c r="X962" s="165"/>
      <c r="Y962" s="165"/>
      <c r="Z962" s="165"/>
    </row>
    <row r="963" spans="1:26" ht="12.75" customHeight="1">
      <c r="A963" s="165"/>
      <c r="B963" s="165"/>
      <c r="C963" s="165"/>
      <c r="D963" s="165"/>
      <c r="E963" s="165"/>
      <c r="F963" s="165"/>
      <c r="G963" s="165"/>
      <c r="H963" s="165"/>
      <c r="I963" s="165"/>
      <c r="J963" s="165"/>
      <c r="K963" s="165"/>
      <c r="L963" s="165"/>
      <c r="M963" s="165"/>
      <c r="N963" s="165"/>
      <c r="O963" s="165"/>
      <c r="P963" s="165"/>
      <c r="Q963" s="165"/>
      <c r="R963" s="165"/>
      <c r="S963" s="165"/>
      <c r="T963" s="165"/>
      <c r="U963" s="165"/>
      <c r="V963" s="165"/>
      <c r="W963" s="165"/>
      <c r="X963" s="165"/>
      <c r="Y963" s="165"/>
      <c r="Z963" s="165"/>
    </row>
    <row r="964" spans="1:26" ht="12.75" customHeight="1">
      <c r="A964" s="165"/>
      <c r="B964" s="165"/>
      <c r="C964" s="165"/>
      <c r="D964" s="165"/>
      <c r="E964" s="165"/>
      <c r="F964" s="165"/>
      <c r="G964" s="165"/>
      <c r="H964" s="165"/>
      <c r="I964" s="165"/>
      <c r="J964" s="165"/>
      <c r="K964" s="165"/>
      <c r="L964" s="165"/>
      <c r="M964" s="165"/>
      <c r="N964" s="165"/>
      <c r="O964" s="165"/>
      <c r="P964" s="165"/>
      <c r="Q964" s="165"/>
      <c r="R964" s="165"/>
      <c r="S964" s="165"/>
      <c r="T964" s="165"/>
      <c r="U964" s="165"/>
      <c r="V964" s="165"/>
      <c r="W964" s="165"/>
      <c r="X964" s="165"/>
      <c r="Y964" s="165"/>
      <c r="Z964" s="165"/>
    </row>
    <row r="965" spans="1:26" ht="12.75" customHeight="1">
      <c r="A965" s="165"/>
      <c r="B965" s="165"/>
      <c r="C965" s="165"/>
      <c r="D965" s="165"/>
      <c r="E965" s="165"/>
      <c r="F965" s="165"/>
      <c r="G965" s="165"/>
      <c r="H965" s="165"/>
      <c r="I965" s="165"/>
      <c r="J965" s="165"/>
      <c r="K965" s="165"/>
      <c r="L965" s="165"/>
      <c r="M965" s="165"/>
      <c r="N965" s="165"/>
      <c r="O965" s="165"/>
      <c r="P965" s="165"/>
      <c r="Q965" s="165"/>
      <c r="R965" s="165"/>
      <c r="S965" s="165"/>
      <c r="T965" s="165"/>
      <c r="U965" s="165"/>
      <c r="V965" s="165"/>
      <c r="W965" s="165"/>
      <c r="X965" s="165"/>
      <c r="Y965" s="165"/>
      <c r="Z965" s="165"/>
    </row>
    <row r="966" spans="1:26" ht="12.75" customHeight="1">
      <c r="A966" s="165"/>
      <c r="B966" s="165"/>
      <c r="C966" s="165"/>
      <c r="D966" s="165"/>
      <c r="E966" s="165"/>
      <c r="F966" s="165"/>
      <c r="G966" s="165"/>
      <c r="H966" s="165"/>
      <c r="I966" s="165"/>
      <c r="J966" s="165"/>
      <c r="K966" s="165"/>
      <c r="L966" s="165"/>
      <c r="M966" s="165"/>
      <c r="N966" s="165"/>
      <c r="O966" s="165"/>
      <c r="P966" s="165"/>
      <c r="Q966" s="165"/>
      <c r="R966" s="165"/>
      <c r="S966" s="165"/>
      <c r="T966" s="165"/>
      <c r="U966" s="165"/>
      <c r="V966" s="165"/>
      <c r="W966" s="165"/>
      <c r="X966" s="165"/>
      <c r="Y966" s="165"/>
      <c r="Z966" s="165"/>
    </row>
    <row r="967" spans="1:26" ht="12.75" customHeight="1">
      <c r="A967" s="165"/>
      <c r="B967" s="165"/>
      <c r="C967" s="165"/>
      <c r="D967" s="165"/>
      <c r="E967" s="165"/>
      <c r="F967" s="165"/>
      <c r="G967" s="165"/>
      <c r="H967" s="165"/>
      <c r="I967" s="165"/>
      <c r="J967" s="165"/>
      <c r="K967" s="165"/>
      <c r="L967" s="165"/>
      <c r="M967" s="165"/>
      <c r="N967" s="165"/>
      <c r="O967" s="165"/>
      <c r="P967" s="165"/>
      <c r="Q967" s="165"/>
      <c r="R967" s="165"/>
      <c r="S967" s="165"/>
      <c r="T967" s="165"/>
      <c r="U967" s="165"/>
      <c r="V967" s="165"/>
      <c r="W967" s="165"/>
      <c r="X967" s="165"/>
      <c r="Y967" s="165"/>
      <c r="Z967" s="165"/>
    </row>
    <row r="968" spans="1:26" ht="12.75" customHeight="1">
      <c r="A968" s="165"/>
      <c r="B968" s="165"/>
      <c r="C968" s="165"/>
      <c r="D968" s="165"/>
      <c r="E968" s="165"/>
      <c r="F968" s="165"/>
      <c r="G968" s="165"/>
      <c r="H968" s="165"/>
      <c r="I968" s="165"/>
      <c r="J968" s="165"/>
      <c r="K968" s="165"/>
      <c r="L968" s="165"/>
      <c r="M968" s="165"/>
      <c r="N968" s="165"/>
      <c r="O968" s="165"/>
      <c r="P968" s="165"/>
      <c r="Q968" s="165"/>
      <c r="R968" s="165"/>
      <c r="S968" s="165"/>
      <c r="T968" s="165"/>
      <c r="U968" s="165"/>
      <c r="V968" s="165"/>
      <c r="W968" s="165"/>
      <c r="X968" s="165"/>
      <c r="Y968" s="165"/>
      <c r="Z968" s="165"/>
    </row>
    <row r="969" spans="1:26" ht="12.75" customHeight="1">
      <c r="A969" s="165"/>
      <c r="B969" s="165"/>
      <c r="C969" s="165"/>
      <c r="D969" s="165"/>
      <c r="E969" s="165"/>
      <c r="F969" s="165"/>
      <c r="G969" s="165"/>
      <c r="H969" s="165"/>
      <c r="I969" s="165"/>
      <c r="J969" s="165"/>
      <c r="K969" s="165"/>
      <c r="L969" s="165"/>
      <c r="M969" s="165"/>
      <c r="N969" s="165"/>
      <c r="O969" s="165"/>
      <c r="P969" s="165"/>
      <c r="Q969" s="165"/>
      <c r="R969" s="165"/>
      <c r="S969" s="165"/>
      <c r="T969" s="165"/>
      <c r="U969" s="165"/>
      <c r="V969" s="165"/>
      <c r="W969" s="165"/>
      <c r="X969" s="165"/>
      <c r="Y969" s="165"/>
      <c r="Z969" s="165"/>
    </row>
    <row r="970" spans="1:26" ht="12.75" customHeight="1">
      <c r="A970" s="165"/>
      <c r="B970" s="165"/>
      <c r="C970" s="165"/>
      <c r="D970" s="165"/>
      <c r="E970" s="165"/>
      <c r="F970" s="165"/>
      <c r="G970" s="165"/>
      <c r="H970" s="165"/>
      <c r="I970" s="165"/>
      <c r="J970" s="165"/>
      <c r="K970" s="165"/>
      <c r="L970" s="165"/>
      <c r="M970" s="165"/>
      <c r="N970" s="165"/>
      <c r="O970" s="165"/>
      <c r="P970" s="165"/>
      <c r="Q970" s="165"/>
      <c r="R970" s="165"/>
      <c r="S970" s="165"/>
      <c r="T970" s="165"/>
      <c r="U970" s="165"/>
      <c r="V970" s="165"/>
      <c r="W970" s="165"/>
      <c r="X970" s="165"/>
      <c r="Y970" s="165"/>
      <c r="Z970" s="165"/>
    </row>
    <row r="971" spans="1:26" ht="12.75" customHeight="1">
      <c r="A971" s="165"/>
      <c r="B971" s="165"/>
      <c r="C971" s="165"/>
      <c r="D971" s="165"/>
      <c r="E971" s="165"/>
      <c r="F971" s="165"/>
      <c r="G971" s="165"/>
      <c r="H971" s="165"/>
      <c r="I971" s="165"/>
      <c r="J971" s="165"/>
      <c r="K971" s="165"/>
      <c r="L971" s="165"/>
      <c r="M971" s="165"/>
      <c r="N971" s="165"/>
      <c r="O971" s="165"/>
      <c r="P971" s="165"/>
      <c r="Q971" s="165"/>
      <c r="R971" s="165"/>
      <c r="S971" s="165"/>
      <c r="T971" s="165"/>
      <c r="U971" s="165"/>
      <c r="V971" s="165"/>
      <c r="W971" s="165"/>
      <c r="X971" s="165"/>
      <c r="Y971" s="165"/>
      <c r="Z971" s="165"/>
    </row>
    <row r="972" spans="1:26" ht="12.75" customHeight="1">
      <c r="A972" s="165"/>
      <c r="B972" s="165"/>
      <c r="C972" s="165"/>
      <c r="D972" s="165"/>
      <c r="E972" s="165"/>
      <c r="F972" s="165"/>
      <c r="G972" s="165"/>
      <c r="H972" s="165"/>
      <c r="I972" s="165"/>
      <c r="J972" s="165"/>
      <c r="K972" s="165"/>
      <c r="L972" s="165"/>
      <c r="M972" s="165"/>
      <c r="N972" s="165"/>
      <c r="O972" s="165"/>
      <c r="P972" s="165"/>
      <c r="Q972" s="165"/>
      <c r="R972" s="165"/>
      <c r="S972" s="165"/>
      <c r="T972" s="165"/>
      <c r="U972" s="165"/>
      <c r="V972" s="165"/>
      <c r="W972" s="165"/>
      <c r="X972" s="165"/>
      <c r="Y972" s="165"/>
      <c r="Z972" s="165"/>
    </row>
    <row r="973" spans="1:26" ht="12.75" customHeight="1">
      <c r="A973" s="165"/>
      <c r="B973" s="165"/>
      <c r="C973" s="165"/>
      <c r="D973" s="165"/>
      <c r="E973" s="165"/>
      <c r="F973" s="165"/>
      <c r="G973" s="165"/>
      <c r="H973" s="165"/>
      <c r="I973" s="165"/>
      <c r="J973" s="165"/>
      <c r="K973" s="165"/>
      <c r="L973" s="165"/>
      <c r="M973" s="165"/>
      <c r="N973" s="165"/>
      <c r="O973" s="165"/>
      <c r="P973" s="165"/>
      <c r="Q973" s="165"/>
      <c r="R973" s="165"/>
      <c r="S973" s="165"/>
      <c r="T973" s="165"/>
      <c r="U973" s="165"/>
      <c r="V973" s="165"/>
      <c r="W973" s="165"/>
      <c r="X973" s="165"/>
      <c r="Y973" s="165"/>
      <c r="Z973" s="165"/>
    </row>
    <row r="974" spans="1:26" ht="12.75" customHeight="1">
      <c r="A974" s="165"/>
      <c r="B974" s="165"/>
      <c r="C974" s="165"/>
      <c r="D974" s="165"/>
      <c r="E974" s="165"/>
      <c r="F974" s="165"/>
      <c r="G974" s="165"/>
      <c r="H974" s="165"/>
      <c r="I974" s="165"/>
      <c r="J974" s="165"/>
      <c r="K974" s="165"/>
      <c r="L974" s="165"/>
      <c r="M974" s="165"/>
      <c r="N974" s="165"/>
      <c r="O974" s="165"/>
      <c r="P974" s="165"/>
      <c r="Q974" s="165"/>
      <c r="R974" s="165"/>
      <c r="S974" s="165"/>
      <c r="T974" s="165"/>
      <c r="U974" s="165"/>
      <c r="V974" s="165"/>
      <c r="W974" s="165"/>
      <c r="X974" s="165"/>
      <c r="Y974" s="165"/>
      <c r="Z974" s="165"/>
    </row>
    <row r="975" spans="1:26" ht="12.75" customHeight="1">
      <c r="A975" s="165"/>
      <c r="B975" s="165"/>
      <c r="C975" s="165"/>
      <c r="D975" s="165"/>
      <c r="E975" s="165"/>
      <c r="F975" s="165"/>
      <c r="G975" s="165"/>
      <c r="H975" s="165"/>
      <c r="I975" s="165"/>
      <c r="J975" s="165"/>
      <c r="K975" s="165"/>
      <c r="L975" s="165"/>
      <c r="M975" s="165"/>
      <c r="N975" s="165"/>
      <c r="O975" s="165"/>
      <c r="P975" s="165"/>
      <c r="Q975" s="165"/>
      <c r="R975" s="165"/>
      <c r="S975" s="165"/>
      <c r="T975" s="165"/>
      <c r="U975" s="165"/>
      <c r="V975" s="165"/>
      <c r="W975" s="165"/>
      <c r="X975" s="165"/>
      <c r="Y975" s="165"/>
      <c r="Z975" s="165"/>
    </row>
    <row r="976" spans="1:26" ht="12.75" customHeight="1">
      <c r="A976" s="165"/>
      <c r="B976" s="165"/>
      <c r="C976" s="165"/>
      <c r="D976" s="165"/>
      <c r="E976" s="165"/>
      <c r="F976" s="165"/>
      <c r="G976" s="165"/>
      <c r="H976" s="165"/>
      <c r="I976" s="165"/>
      <c r="J976" s="165"/>
      <c r="K976" s="165"/>
      <c r="L976" s="165"/>
      <c r="M976" s="165"/>
      <c r="N976" s="165"/>
      <c r="O976" s="165"/>
      <c r="P976" s="165"/>
      <c r="Q976" s="165"/>
      <c r="R976" s="165"/>
      <c r="S976" s="165"/>
      <c r="T976" s="165"/>
      <c r="U976" s="165"/>
      <c r="V976" s="165"/>
      <c r="W976" s="165"/>
      <c r="X976" s="165"/>
      <c r="Y976" s="165"/>
      <c r="Z976" s="165"/>
    </row>
    <row r="977" spans="1:26" ht="12.75" customHeight="1">
      <c r="A977" s="165"/>
      <c r="B977" s="165"/>
      <c r="C977" s="165"/>
      <c r="D977" s="165"/>
      <c r="E977" s="165"/>
      <c r="F977" s="165"/>
      <c r="G977" s="165"/>
      <c r="H977" s="165"/>
      <c r="I977" s="165"/>
      <c r="J977" s="165"/>
      <c r="K977" s="165"/>
      <c r="L977" s="165"/>
      <c r="M977" s="165"/>
      <c r="N977" s="165"/>
      <c r="O977" s="165"/>
      <c r="P977" s="165"/>
      <c r="Q977" s="165"/>
      <c r="R977" s="165"/>
      <c r="S977" s="165"/>
      <c r="T977" s="165"/>
      <c r="U977" s="165"/>
      <c r="V977" s="165"/>
      <c r="W977" s="165"/>
      <c r="X977" s="165"/>
      <c r="Y977" s="165"/>
      <c r="Z977" s="165"/>
    </row>
    <row r="978" spans="1:26" ht="12.75" customHeight="1">
      <c r="A978" s="165"/>
      <c r="B978" s="165"/>
      <c r="C978" s="165"/>
      <c r="D978" s="165"/>
      <c r="E978" s="165"/>
      <c r="F978" s="165"/>
      <c r="G978" s="165"/>
      <c r="H978" s="165"/>
      <c r="I978" s="165"/>
      <c r="J978" s="165"/>
      <c r="K978" s="165"/>
      <c r="L978" s="165"/>
      <c r="M978" s="165"/>
      <c r="N978" s="165"/>
      <c r="O978" s="165"/>
      <c r="P978" s="165"/>
      <c r="Q978" s="165"/>
      <c r="R978" s="165"/>
      <c r="S978" s="165"/>
      <c r="T978" s="165"/>
      <c r="U978" s="165"/>
      <c r="V978" s="165"/>
      <c r="W978" s="165"/>
      <c r="X978" s="165"/>
      <c r="Y978" s="165"/>
      <c r="Z978" s="165"/>
    </row>
    <row r="979" spans="1:26" ht="12.75" customHeight="1">
      <c r="A979" s="165"/>
      <c r="B979" s="165"/>
      <c r="C979" s="165"/>
      <c r="D979" s="165"/>
      <c r="E979" s="165"/>
      <c r="F979" s="165"/>
      <c r="G979" s="165"/>
      <c r="H979" s="165"/>
      <c r="I979" s="165"/>
      <c r="J979" s="165"/>
      <c r="K979" s="165"/>
      <c r="L979" s="165"/>
      <c r="M979" s="165"/>
      <c r="N979" s="165"/>
      <c r="O979" s="165"/>
      <c r="P979" s="165"/>
      <c r="Q979" s="165"/>
      <c r="R979" s="165"/>
      <c r="S979" s="165"/>
      <c r="T979" s="165"/>
      <c r="U979" s="165"/>
      <c r="V979" s="165"/>
      <c r="W979" s="165"/>
      <c r="X979" s="165"/>
      <c r="Y979" s="165"/>
      <c r="Z979" s="165"/>
    </row>
    <row r="980" spans="1:26" ht="12.75" customHeight="1">
      <c r="A980" s="165"/>
      <c r="B980" s="165"/>
      <c r="C980" s="165"/>
      <c r="D980" s="165"/>
      <c r="E980" s="165"/>
      <c r="F980" s="165"/>
      <c r="G980" s="165"/>
      <c r="H980" s="165"/>
      <c r="I980" s="165"/>
      <c r="J980" s="165"/>
      <c r="K980" s="165"/>
      <c r="L980" s="165"/>
      <c r="M980" s="165"/>
      <c r="N980" s="165"/>
      <c r="O980" s="165"/>
      <c r="P980" s="165"/>
      <c r="Q980" s="165"/>
      <c r="R980" s="165"/>
      <c r="S980" s="165"/>
      <c r="T980" s="165"/>
      <c r="U980" s="165"/>
      <c r="V980" s="165"/>
      <c r="W980" s="165"/>
      <c r="X980" s="165"/>
      <c r="Y980" s="165"/>
      <c r="Z980" s="165"/>
    </row>
    <row r="981" spans="1:26" ht="12.75" customHeight="1">
      <c r="A981" s="165"/>
      <c r="B981" s="165"/>
      <c r="C981" s="165"/>
      <c r="D981" s="165"/>
      <c r="E981" s="165"/>
      <c r="F981" s="165"/>
      <c r="G981" s="165"/>
      <c r="H981" s="165"/>
      <c r="I981" s="165"/>
      <c r="J981" s="165"/>
      <c r="K981" s="165"/>
      <c r="L981" s="165"/>
      <c r="M981" s="165"/>
      <c r="N981" s="165"/>
      <c r="O981" s="165"/>
      <c r="P981" s="165"/>
      <c r="Q981" s="165"/>
      <c r="R981" s="165"/>
      <c r="S981" s="165"/>
      <c r="T981" s="165"/>
      <c r="U981" s="165"/>
      <c r="V981" s="165"/>
      <c r="W981" s="165"/>
      <c r="X981" s="165"/>
      <c r="Y981" s="165"/>
      <c r="Z981" s="165"/>
    </row>
    <row r="982" spans="1:26" ht="12.75" customHeight="1">
      <c r="A982" s="165"/>
      <c r="B982" s="165"/>
      <c r="C982" s="165"/>
      <c r="D982" s="165"/>
      <c r="E982" s="165"/>
      <c r="F982" s="165"/>
      <c r="G982" s="165"/>
      <c r="H982" s="165"/>
      <c r="I982" s="165"/>
      <c r="J982" s="165"/>
      <c r="K982" s="165"/>
      <c r="L982" s="165"/>
      <c r="M982" s="165"/>
      <c r="N982" s="165"/>
      <c r="O982" s="165"/>
      <c r="P982" s="165"/>
      <c r="Q982" s="165"/>
      <c r="R982" s="165"/>
      <c r="S982" s="165"/>
      <c r="T982" s="165"/>
      <c r="U982" s="165"/>
      <c r="V982" s="165"/>
      <c r="W982" s="165"/>
      <c r="X982" s="165"/>
      <c r="Y982" s="165"/>
      <c r="Z982" s="165"/>
    </row>
    <row r="983" spans="1:26" ht="12.75" customHeight="1">
      <c r="A983" s="165"/>
      <c r="B983" s="165"/>
      <c r="C983" s="165"/>
      <c r="D983" s="165"/>
      <c r="E983" s="165"/>
      <c r="F983" s="165"/>
      <c r="G983" s="165"/>
      <c r="H983" s="165"/>
      <c r="I983" s="165"/>
      <c r="J983" s="165"/>
      <c r="K983" s="165"/>
      <c r="L983" s="165"/>
      <c r="M983" s="165"/>
      <c r="N983" s="165"/>
      <c r="O983" s="165"/>
      <c r="P983" s="165"/>
      <c r="Q983" s="165"/>
      <c r="R983" s="165"/>
      <c r="S983" s="165"/>
      <c r="T983" s="165"/>
      <c r="U983" s="165"/>
      <c r="V983" s="165"/>
      <c r="W983" s="165"/>
      <c r="X983" s="165"/>
      <c r="Y983" s="165"/>
      <c r="Z983" s="165"/>
    </row>
    <row r="984" spans="1:26" ht="12.75" customHeight="1">
      <c r="A984" s="165"/>
      <c r="B984" s="165"/>
      <c r="C984" s="165"/>
      <c r="D984" s="165"/>
      <c r="E984" s="165"/>
      <c r="F984" s="165"/>
      <c r="G984" s="165"/>
      <c r="H984" s="165"/>
      <c r="I984" s="165"/>
      <c r="J984" s="165"/>
      <c r="K984" s="165"/>
      <c r="L984" s="165"/>
      <c r="M984" s="165"/>
      <c r="N984" s="165"/>
      <c r="O984" s="165"/>
      <c r="P984" s="165"/>
      <c r="Q984" s="165"/>
      <c r="R984" s="165"/>
      <c r="S984" s="165"/>
      <c r="T984" s="165"/>
      <c r="U984" s="165"/>
      <c r="V984" s="165"/>
      <c r="W984" s="165"/>
      <c r="X984" s="165"/>
      <c r="Y984" s="165"/>
      <c r="Z984" s="165"/>
    </row>
    <row r="985" spans="1:26" ht="12.75" customHeight="1">
      <c r="A985" s="165"/>
      <c r="B985" s="165"/>
      <c r="C985" s="165"/>
      <c r="D985" s="165"/>
      <c r="E985" s="165"/>
      <c r="F985" s="165"/>
      <c r="G985" s="165"/>
      <c r="H985" s="165"/>
      <c r="I985" s="165"/>
      <c r="J985" s="165"/>
      <c r="K985" s="165"/>
      <c r="L985" s="165"/>
      <c r="M985" s="165"/>
      <c r="N985" s="165"/>
      <c r="O985" s="165"/>
      <c r="P985" s="165"/>
      <c r="Q985" s="165"/>
      <c r="R985" s="165"/>
      <c r="S985" s="165"/>
      <c r="T985" s="165"/>
      <c r="U985" s="165"/>
      <c r="V985" s="165"/>
      <c r="W985" s="165"/>
      <c r="X985" s="165"/>
      <c r="Y985" s="165"/>
      <c r="Z985" s="165"/>
    </row>
    <row r="986" spans="1:26" ht="12.75" customHeight="1">
      <c r="A986" s="165"/>
      <c r="B986" s="165"/>
      <c r="C986" s="165"/>
      <c r="D986" s="165"/>
      <c r="E986" s="165"/>
      <c r="F986" s="165"/>
      <c r="G986" s="165"/>
      <c r="H986" s="165"/>
      <c r="I986" s="165"/>
      <c r="J986" s="165"/>
      <c r="K986" s="165"/>
      <c r="L986" s="165"/>
      <c r="M986" s="165"/>
      <c r="N986" s="165"/>
      <c r="O986" s="165"/>
      <c r="P986" s="165"/>
      <c r="Q986" s="165"/>
      <c r="R986" s="165"/>
      <c r="S986" s="165"/>
      <c r="T986" s="165"/>
      <c r="U986" s="165"/>
      <c r="V986" s="165"/>
      <c r="W986" s="165"/>
      <c r="X986" s="165"/>
      <c r="Y986" s="165"/>
      <c r="Z986" s="165"/>
    </row>
    <row r="987" spans="1:26" ht="12.75" customHeight="1">
      <c r="A987" s="165"/>
      <c r="B987" s="165"/>
      <c r="C987" s="165"/>
      <c r="D987" s="165"/>
      <c r="E987" s="165"/>
      <c r="F987" s="165"/>
      <c r="G987" s="165"/>
      <c r="H987" s="165"/>
      <c r="I987" s="165"/>
      <c r="J987" s="165"/>
      <c r="K987" s="165"/>
      <c r="L987" s="165"/>
      <c r="M987" s="165"/>
      <c r="N987" s="165"/>
      <c r="O987" s="165"/>
      <c r="P987" s="165"/>
      <c r="Q987" s="165"/>
      <c r="R987" s="165"/>
      <c r="S987" s="165"/>
      <c r="T987" s="165"/>
      <c r="U987" s="165"/>
      <c r="V987" s="165"/>
      <c r="W987" s="165"/>
      <c r="X987" s="165"/>
      <c r="Y987" s="165"/>
      <c r="Z987" s="165"/>
    </row>
    <row r="988" spans="1:26" ht="12.75" customHeight="1">
      <c r="A988" s="165"/>
      <c r="B988" s="165"/>
      <c r="C988" s="165"/>
      <c r="D988" s="165"/>
      <c r="E988" s="165"/>
      <c r="F988" s="165"/>
      <c r="G988" s="165"/>
      <c r="H988" s="165"/>
      <c r="I988" s="165"/>
      <c r="J988" s="165"/>
      <c r="K988" s="165"/>
      <c r="L988" s="165"/>
      <c r="M988" s="165"/>
      <c r="N988" s="165"/>
      <c r="O988" s="165"/>
      <c r="P988" s="165"/>
      <c r="Q988" s="165"/>
      <c r="R988" s="165"/>
      <c r="S988" s="165"/>
      <c r="T988" s="165"/>
      <c r="U988" s="165"/>
      <c r="V988" s="165"/>
      <c r="W988" s="165"/>
      <c r="X988" s="165"/>
      <c r="Y988" s="165"/>
      <c r="Z988" s="165"/>
    </row>
    <row r="989" spans="1:26" ht="12.75" customHeight="1">
      <c r="A989" s="165"/>
      <c r="B989" s="165"/>
      <c r="C989" s="165"/>
      <c r="D989" s="165"/>
      <c r="E989" s="165"/>
      <c r="F989" s="165"/>
      <c r="G989" s="165"/>
      <c r="H989" s="165"/>
      <c r="I989" s="165"/>
      <c r="J989" s="165"/>
      <c r="K989" s="165"/>
      <c r="L989" s="165"/>
      <c r="M989" s="165"/>
      <c r="N989" s="165"/>
      <c r="O989" s="165"/>
      <c r="P989" s="165"/>
      <c r="Q989" s="165"/>
      <c r="R989" s="165"/>
      <c r="S989" s="165"/>
      <c r="T989" s="165"/>
      <c r="U989" s="165"/>
      <c r="V989" s="165"/>
      <c r="W989" s="165"/>
      <c r="X989" s="165"/>
      <c r="Y989" s="165"/>
      <c r="Z989" s="165"/>
    </row>
    <row r="990" spans="1:26" ht="12.75" customHeight="1">
      <c r="A990" s="165"/>
      <c r="B990" s="165"/>
      <c r="C990" s="165"/>
      <c r="D990" s="165"/>
      <c r="E990" s="165"/>
      <c r="F990" s="165"/>
      <c r="G990" s="165"/>
      <c r="H990" s="165"/>
      <c r="I990" s="165"/>
      <c r="J990" s="165"/>
      <c r="K990" s="165"/>
      <c r="L990" s="165"/>
      <c r="M990" s="165"/>
      <c r="N990" s="165"/>
      <c r="O990" s="165"/>
      <c r="P990" s="165"/>
      <c r="Q990" s="165"/>
      <c r="R990" s="165"/>
      <c r="S990" s="165"/>
      <c r="T990" s="165"/>
      <c r="U990" s="165"/>
      <c r="V990" s="165"/>
      <c r="W990" s="165"/>
      <c r="X990" s="165"/>
      <c r="Y990" s="165"/>
      <c r="Z990" s="165"/>
    </row>
    <row r="991" spans="1:26" ht="12.75" customHeight="1">
      <c r="A991" s="165"/>
      <c r="B991" s="165"/>
      <c r="C991" s="165"/>
      <c r="D991" s="165"/>
      <c r="E991" s="165"/>
      <c r="F991" s="165"/>
      <c r="G991" s="165"/>
      <c r="H991" s="165"/>
      <c r="I991" s="165"/>
      <c r="J991" s="165"/>
      <c r="K991" s="165"/>
      <c r="L991" s="165"/>
      <c r="M991" s="165"/>
      <c r="N991" s="165"/>
      <c r="O991" s="165"/>
      <c r="P991" s="165"/>
      <c r="Q991" s="165"/>
      <c r="R991" s="165"/>
      <c r="S991" s="165"/>
      <c r="T991" s="165"/>
      <c r="U991" s="165"/>
      <c r="V991" s="165"/>
      <c r="W991" s="165"/>
      <c r="X991" s="165"/>
      <c r="Y991" s="165"/>
      <c r="Z991" s="165"/>
    </row>
    <row r="992" spans="1:26" ht="12.75" customHeight="1">
      <c r="A992" s="165"/>
      <c r="B992" s="165"/>
      <c r="C992" s="165"/>
      <c r="D992" s="165"/>
      <c r="E992" s="165"/>
      <c r="F992" s="165"/>
      <c r="G992" s="165"/>
      <c r="H992" s="165"/>
      <c r="I992" s="165"/>
      <c r="J992" s="165"/>
      <c r="K992" s="165"/>
      <c r="L992" s="165"/>
      <c r="M992" s="165"/>
      <c r="N992" s="165"/>
      <c r="O992" s="165"/>
      <c r="P992" s="165"/>
      <c r="Q992" s="165"/>
      <c r="R992" s="165"/>
      <c r="S992" s="165"/>
      <c r="T992" s="165"/>
      <c r="U992" s="165"/>
      <c r="V992" s="165"/>
      <c r="W992" s="165"/>
      <c r="X992" s="165"/>
      <c r="Y992" s="165"/>
      <c r="Z992" s="165"/>
    </row>
    <row r="993" spans="1:26" ht="12.75" customHeight="1">
      <c r="A993" s="165"/>
      <c r="B993" s="165"/>
      <c r="C993" s="165"/>
      <c r="D993" s="165"/>
      <c r="E993" s="165"/>
      <c r="F993" s="165"/>
      <c r="G993" s="165"/>
      <c r="H993" s="165"/>
      <c r="I993" s="165"/>
      <c r="J993" s="165"/>
      <c r="K993" s="165"/>
      <c r="L993" s="165"/>
      <c r="M993" s="165"/>
      <c r="N993" s="165"/>
      <c r="O993" s="165"/>
      <c r="P993" s="165"/>
      <c r="Q993" s="165"/>
      <c r="R993" s="165"/>
      <c r="S993" s="165"/>
      <c r="T993" s="165"/>
      <c r="U993" s="165"/>
      <c r="V993" s="165"/>
      <c r="W993" s="165"/>
      <c r="X993" s="165"/>
      <c r="Y993" s="165"/>
      <c r="Z993" s="165"/>
    </row>
    <row r="994" spans="1:26" ht="12.75" customHeight="1">
      <c r="A994" s="165"/>
      <c r="B994" s="165"/>
      <c r="C994" s="165"/>
      <c r="D994" s="165"/>
      <c r="E994" s="165"/>
      <c r="F994" s="165"/>
      <c r="G994" s="165"/>
      <c r="H994" s="165"/>
      <c r="I994" s="165"/>
      <c r="J994" s="165"/>
      <c r="K994" s="165"/>
      <c r="L994" s="165"/>
      <c r="M994" s="165"/>
      <c r="N994" s="165"/>
      <c r="O994" s="165"/>
      <c r="P994" s="165"/>
      <c r="Q994" s="165"/>
      <c r="R994" s="165"/>
      <c r="S994" s="165"/>
      <c r="T994" s="165"/>
      <c r="U994" s="165"/>
      <c r="V994" s="165"/>
      <c r="W994" s="165"/>
      <c r="X994" s="165"/>
      <c r="Y994" s="165"/>
      <c r="Z994" s="165"/>
    </row>
    <row r="995" spans="1:26" ht="12.75" customHeight="1">
      <c r="A995" s="165"/>
      <c r="B995" s="165"/>
      <c r="C995" s="165"/>
      <c r="D995" s="165"/>
      <c r="E995" s="165"/>
      <c r="F995" s="165"/>
      <c r="G995" s="165"/>
      <c r="H995" s="165"/>
      <c r="I995" s="165"/>
      <c r="J995" s="165"/>
      <c r="K995" s="165"/>
      <c r="L995" s="165"/>
      <c r="M995" s="165"/>
      <c r="N995" s="165"/>
      <c r="O995" s="165"/>
      <c r="P995" s="165"/>
      <c r="Q995" s="165"/>
      <c r="R995" s="165"/>
      <c r="S995" s="165"/>
      <c r="T995" s="165"/>
      <c r="U995" s="165"/>
      <c r="V995" s="165"/>
      <c r="W995" s="165"/>
      <c r="X995" s="165"/>
      <c r="Y995" s="165"/>
      <c r="Z995" s="165"/>
    </row>
    <row r="996" spans="1:26" ht="12.75" customHeight="1">
      <c r="A996" s="165"/>
      <c r="B996" s="165"/>
      <c r="C996" s="165"/>
      <c r="D996" s="165"/>
      <c r="E996" s="165"/>
      <c r="F996" s="165"/>
      <c r="G996" s="165"/>
      <c r="H996" s="165"/>
      <c r="I996" s="165"/>
      <c r="J996" s="165"/>
      <c r="K996" s="165"/>
      <c r="L996" s="165"/>
      <c r="M996" s="165"/>
      <c r="N996" s="165"/>
      <c r="O996" s="165"/>
      <c r="P996" s="165"/>
      <c r="Q996" s="165"/>
      <c r="R996" s="165"/>
      <c r="S996" s="165"/>
      <c r="T996" s="165"/>
      <c r="U996" s="165"/>
      <c r="V996" s="165"/>
      <c r="W996" s="165"/>
      <c r="X996" s="165"/>
      <c r="Y996" s="165"/>
      <c r="Z996" s="165"/>
    </row>
    <row r="997" spans="1:26" ht="12.75" customHeight="1">
      <c r="A997" s="165"/>
      <c r="B997" s="165"/>
      <c r="C997" s="165"/>
      <c r="D997" s="165"/>
      <c r="E997" s="165"/>
      <c r="F997" s="165"/>
      <c r="G997" s="165"/>
      <c r="H997" s="165"/>
      <c r="I997" s="165"/>
      <c r="J997" s="165"/>
      <c r="K997" s="165"/>
      <c r="L997" s="165"/>
      <c r="M997" s="165"/>
      <c r="N997" s="165"/>
      <c r="O997" s="165"/>
      <c r="P997" s="165"/>
      <c r="Q997" s="165"/>
      <c r="R997" s="165"/>
      <c r="S997" s="165"/>
      <c r="T997" s="165"/>
      <c r="U997" s="165"/>
      <c r="V997" s="165"/>
      <c r="W997" s="165"/>
      <c r="X997" s="165"/>
      <c r="Y997" s="165"/>
      <c r="Z997" s="165"/>
    </row>
    <row r="998" spans="1:26" ht="12.75" customHeight="1">
      <c r="A998" s="165"/>
      <c r="B998" s="165"/>
      <c r="C998" s="165"/>
      <c r="D998" s="165"/>
      <c r="E998" s="165"/>
      <c r="F998" s="165"/>
      <c r="G998" s="165"/>
      <c r="H998" s="165"/>
      <c r="I998" s="165"/>
      <c r="J998" s="165"/>
      <c r="K998" s="165"/>
      <c r="L998" s="165"/>
      <c r="M998" s="165"/>
      <c r="N998" s="165"/>
      <c r="O998" s="165"/>
      <c r="P998" s="165"/>
      <c r="Q998" s="165"/>
      <c r="R998" s="165"/>
      <c r="S998" s="165"/>
      <c r="T998" s="165"/>
      <c r="U998" s="165"/>
      <c r="V998" s="165"/>
      <c r="W998" s="165"/>
      <c r="X998" s="165"/>
      <c r="Y998" s="165"/>
      <c r="Z998" s="165"/>
    </row>
    <row r="999" spans="1:26" ht="12.75" customHeight="1">
      <c r="A999" s="165"/>
      <c r="B999" s="165"/>
      <c r="C999" s="165"/>
      <c r="D999" s="165"/>
      <c r="E999" s="165"/>
      <c r="F999" s="165"/>
      <c r="G999" s="165"/>
      <c r="H999" s="165"/>
      <c r="I999" s="165"/>
      <c r="J999" s="165"/>
      <c r="K999" s="165"/>
      <c r="L999" s="165"/>
      <c r="M999" s="165"/>
      <c r="N999" s="165"/>
      <c r="O999" s="165"/>
      <c r="P999" s="165"/>
      <c r="Q999" s="165"/>
      <c r="R999" s="165"/>
      <c r="S999" s="165"/>
      <c r="T999" s="165"/>
      <c r="U999" s="165"/>
      <c r="V999" s="165"/>
      <c r="W999" s="165"/>
      <c r="X999" s="165"/>
      <c r="Y999" s="165"/>
      <c r="Z999" s="165"/>
    </row>
    <row r="1000" spans="1:26" ht="12.75" customHeight="1">
      <c r="A1000" s="165"/>
      <c r="B1000" s="165"/>
      <c r="C1000" s="165"/>
      <c r="D1000" s="165"/>
      <c r="E1000" s="165"/>
      <c r="F1000" s="165"/>
      <c r="G1000" s="165"/>
      <c r="H1000" s="165"/>
      <c r="I1000" s="165"/>
      <c r="J1000" s="165"/>
      <c r="K1000" s="165"/>
      <c r="L1000" s="165"/>
      <c r="M1000" s="165"/>
      <c r="N1000" s="165"/>
      <c r="O1000" s="165"/>
      <c r="P1000" s="165"/>
      <c r="Q1000" s="165"/>
      <c r="R1000" s="165"/>
      <c r="S1000" s="165"/>
      <c r="T1000" s="165"/>
      <c r="U1000" s="165"/>
      <c r="V1000" s="165"/>
      <c r="W1000" s="165"/>
      <c r="X1000" s="165"/>
      <c r="Y1000" s="165"/>
      <c r="Z1000" s="165"/>
    </row>
  </sheetData>
  <mergeCells count="3">
    <mergeCell ref="A1:B1"/>
    <mergeCell ref="A2:B2"/>
    <mergeCell ref="A3:B3"/>
  </mergeCells>
  <printOptions horizontalCentered="1" verticalCentered="1"/>
  <pageMargins left="0.78740157480314965" right="0.78740157480314965" top="0.98425196850393704" bottom="0.98425196850393704" header="0" footer="0"/>
  <pageSetup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1000"/>
  <sheetViews>
    <sheetView tabSelected="1" zoomScale="68" zoomScaleNormal="68" workbookViewId="0">
      <pane xSplit="1" ySplit="6" topLeftCell="B7" activePane="bottomRight" state="frozen"/>
      <selection pane="bottomRight" activeCell="G11" sqref="G11"/>
      <selection pane="bottomLeft" activeCell="A7" sqref="A7"/>
      <selection pane="topRight" activeCell="B1" sqref="B1"/>
    </sheetView>
  </sheetViews>
  <sheetFormatPr defaultColWidth="14.42578125" defaultRowHeight="20.100000000000001" customHeight="1"/>
  <cols>
    <col min="1" max="1" width="55" customWidth="1"/>
    <col min="2" max="4" width="25.42578125" customWidth="1"/>
    <col min="5" max="6" width="20.7109375" customWidth="1"/>
    <col min="7" max="8" width="13.42578125" customWidth="1"/>
    <col min="9" max="9" width="13.140625" customWidth="1"/>
    <col min="10" max="10" width="13.42578125" customWidth="1"/>
    <col min="11" max="16" width="20.7109375" customWidth="1"/>
    <col min="17" max="17" width="13.42578125" customWidth="1"/>
    <col min="18" max="18" width="30.5703125" customWidth="1"/>
    <col min="19" max="19" width="40.85546875" customWidth="1"/>
    <col min="20" max="23" width="40.7109375" customWidth="1"/>
    <col min="24" max="24" width="20.7109375" customWidth="1"/>
    <col min="25" max="26" width="20.7109375" hidden="1" customWidth="1"/>
    <col min="27" max="27" width="13.7109375" hidden="1" customWidth="1"/>
    <col min="28" max="28" width="15.7109375" hidden="1" customWidth="1"/>
    <col min="29" max="29" width="20.7109375" customWidth="1"/>
    <col min="30" max="30" width="15.85546875" customWidth="1"/>
    <col min="31" max="31" width="22.42578125" customWidth="1"/>
    <col min="32" max="36" width="20.7109375" customWidth="1"/>
    <col min="37" max="37" width="26" customWidth="1"/>
    <col min="38" max="38" width="27.140625" hidden="1" customWidth="1"/>
    <col min="39" max="39" width="27" hidden="1" customWidth="1"/>
    <col min="40" max="40" width="29.7109375" hidden="1" customWidth="1"/>
    <col min="41" max="41" width="26.28515625" customWidth="1"/>
    <col min="42" max="42" width="22.85546875" customWidth="1"/>
    <col min="43" max="45" width="20.7109375" customWidth="1"/>
    <col min="46" max="46" width="27.28515625" customWidth="1"/>
    <col min="47" max="47" width="24.28515625" customWidth="1"/>
    <col min="48" max="51" width="20.7109375" hidden="1" customWidth="1"/>
    <col min="52" max="52" width="23.7109375" hidden="1" customWidth="1"/>
    <col min="53" max="53" width="21" hidden="1" customWidth="1"/>
    <col min="54" max="54" width="23.7109375" hidden="1" customWidth="1"/>
    <col min="55" max="55" width="20.7109375" hidden="1" customWidth="1"/>
    <col min="56" max="56" width="22.7109375" customWidth="1"/>
    <col min="57" max="57" width="27.85546875" customWidth="1"/>
    <col min="58" max="58" width="20.7109375" customWidth="1"/>
    <col min="59" max="60" width="24.28515625" customWidth="1"/>
    <col min="61" max="61" width="20.7109375" customWidth="1"/>
    <col min="62" max="62" width="34.42578125" style="354" customWidth="1"/>
    <col min="63" max="63" width="36.28515625" style="354" customWidth="1"/>
    <col min="64" max="64" width="58.28515625" style="354" customWidth="1"/>
    <col min="65" max="67" width="20.7109375" customWidth="1"/>
  </cols>
  <sheetData>
    <row r="1" spans="1:67" ht="20.100000000000001" customHeight="1">
      <c r="A1" s="13"/>
      <c r="B1" s="10"/>
      <c r="C1" s="14"/>
      <c r="D1" s="10"/>
      <c r="E1" s="10"/>
      <c r="F1" s="10"/>
      <c r="G1" s="376"/>
      <c r="H1" s="3"/>
      <c r="I1" s="3"/>
      <c r="J1" s="3"/>
      <c r="K1" s="15"/>
      <c r="L1" s="3"/>
      <c r="M1" s="3"/>
      <c r="N1" s="3"/>
      <c r="O1" s="3"/>
      <c r="P1" s="3"/>
      <c r="Q1" s="3"/>
      <c r="R1" s="16"/>
      <c r="S1" s="16"/>
      <c r="T1" s="16"/>
      <c r="U1" s="16"/>
      <c r="V1" s="17"/>
      <c r="W1" s="192"/>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345"/>
      <c r="BK1" s="345"/>
      <c r="BL1" s="345"/>
      <c r="BM1" s="14"/>
      <c r="BN1" s="14"/>
      <c r="BO1" s="14"/>
    </row>
    <row r="2" spans="1:67" ht="20.100000000000001" customHeight="1">
      <c r="A2" s="18" t="str">
        <f>+'Datos Generales'!C6</f>
        <v>2023-I</v>
      </c>
      <c r="B2" s="10"/>
      <c r="C2" s="14"/>
      <c r="D2" s="10"/>
      <c r="E2" s="10"/>
      <c r="F2" s="10"/>
      <c r="G2" s="376"/>
      <c r="H2" s="3"/>
      <c r="I2" s="3"/>
      <c r="J2" s="3"/>
      <c r="K2" s="15"/>
      <c r="L2" s="3"/>
      <c r="M2" s="3"/>
      <c r="N2" s="3"/>
      <c r="O2" s="3"/>
      <c r="P2" s="3"/>
      <c r="Q2" s="3"/>
      <c r="R2" s="16"/>
      <c r="S2" s="16"/>
      <c r="T2" s="16"/>
      <c r="U2" s="16"/>
      <c r="V2" s="18"/>
      <c r="W2" s="193"/>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345"/>
      <c r="BK2" s="345"/>
      <c r="BL2" s="345"/>
      <c r="BM2" s="14"/>
      <c r="BN2" s="14"/>
      <c r="BO2" s="14"/>
    </row>
    <row r="3" spans="1:67" ht="26.25" customHeight="1">
      <c r="A3" s="18" t="str">
        <f>+'Datos Generales'!C5</f>
        <v>Corporación Autónoma Regional de Caldas – CORPOCALDAS</v>
      </c>
      <c r="B3" s="10"/>
      <c r="C3" s="14"/>
      <c r="D3" s="10"/>
      <c r="E3" s="10"/>
      <c r="F3" s="10"/>
      <c r="G3" s="376"/>
      <c r="H3" s="3"/>
      <c r="I3" s="3"/>
      <c r="J3" s="3"/>
      <c r="K3" s="15"/>
      <c r="L3" s="3"/>
      <c r="M3" s="3"/>
      <c r="N3" s="3"/>
      <c r="O3" s="3"/>
      <c r="P3" s="3"/>
      <c r="Q3" s="3"/>
      <c r="R3" s="16"/>
      <c r="S3" s="16"/>
      <c r="T3" s="16"/>
      <c r="U3" s="16"/>
      <c r="V3" s="18"/>
      <c r="W3" s="193"/>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345"/>
      <c r="BK3" s="345"/>
      <c r="BL3" s="345"/>
      <c r="BM3" s="14"/>
      <c r="BN3" s="14"/>
      <c r="BO3" s="14"/>
    </row>
    <row r="4" spans="1:67" ht="22.5" customHeight="1">
      <c r="A4" s="19"/>
      <c r="B4" s="207"/>
      <c r="C4" s="364" t="s">
        <v>185</v>
      </c>
      <c r="D4" s="365"/>
      <c r="E4" s="365"/>
      <c r="F4" s="365"/>
      <c r="G4" s="365"/>
      <c r="H4" s="365"/>
      <c r="I4" s="365"/>
      <c r="J4" s="365"/>
      <c r="K4" s="365"/>
      <c r="L4" s="365"/>
      <c r="M4" s="365"/>
      <c r="N4" s="365"/>
      <c r="O4" s="365"/>
      <c r="P4" s="365"/>
      <c r="Q4" s="365"/>
      <c r="R4" s="366"/>
      <c r="S4" s="191"/>
      <c r="T4" s="191"/>
      <c r="U4" s="191"/>
      <c r="V4" s="19"/>
      <c r="W4" s="190"/>
      <c r="X4" s="208"/>
      <c r="Y4" s="208"/>
      <c r="Z4" s="208"/>
      <c r="AA4" s="208"/>
      <c r="AB4" s="208"/>
      <c r="AC4" s="208"/>
      <c r="AD4" s="208"/>
      <c r="AE4" s="208"/>
      <c r="AF4" s="208"/>
      <c r="AG4" s="208"/>
      <c r="AH4" s="208"/>
      <c r="AI4" s="208"/>
      <c r="AJ4" s="209"/>
      <c r="AK4" s="20" t="s">
        <v>186</v>
      </c>
      <c r="AL4" s="208"/>
      <c r="AM4" s="208"/>
      <c r="AN4" s="208"/>
      <c r="AO4" s="208"/>
      <c r="AP4" s="208"/>
      <c r="AQ4" s="208"/>
      <c r="AR4" s="208"/>
      <c r="AS4" s="208"/>
      <c r="AT4" s="208"/>
      <c r="AU4" s="186"/>
      <c r="AV4" s="208"/>
      <c r="AW4" s="208"/>
      <c r="AX4" s="208"/>
      <c r="AY4" s="208"/>
      <c r="AZ4" s="208"/>
      <c r="BA4" s="208"/>
      <c r="BB4" s="208"/>
      <c r="BC4" s="208"/>
      <c r="BD4" s="208"/>
      <c r="BE4" s="208"/>
      <c r="BF4" s="208"/>
      <c r="BG4" s="208"/>
      <c r="BH4" s="209"/>
      <c r="BI4" s="210"/>
      <c r="BJ4" s="268"/>
      <c r="BK4" s="268"/>
      <c r="BL4" s="268"/>
      <c r="BM4" s="14"/>
      <c r="BN4" s="14"/>
      <c r="BO4" s="14"/>
    </row>
    <row r="5" spans="1:67" ht="81.75" customHeight="1">
      <c r="A5" s="21" t="s">
        <v>106</v>
      </c>
      <c r="B5" s="22" t="s">
        <v>108</v>
      </c>
      <c r="C5" s="211" t="s">
        <v>187</v>
      </c>
      <c r="D5" s="361" t="s">
        <v>188</v>
      </c>
      <c r="E5" s="362"/>
      <c r="F5" s="362"/>
      <c r="G5" s="363"/>
      <c r="H5" s="361" t="s">
        <v>189</v>
      </c>
      <c r="I5" s="381"/>
      <c r="J5" s="381"/>
      <c r="K5" s="382"/>
      <c r="L5" s="361" t="s">
        <v>190</v>
      </c>
      <c r="M5" s="362"/>
      <c r="N5" s="363"/>
      <c r="O5" s="361" t="s">
        <v>191</v>
      </c>
      <c r="P5" s="362"/>
      <c r="Q5" s="362"/>
      <c r="R5" s="363"/>
      <c r="S5" s="21" t="s">
        <v>192</v>
      </c>
      <c r="T5" s="21" t="s">
        <v>193</v>
      </c>
      <c r="U5" s="21" t="s">
        <v>194</v>
      </c>
      <c r="V5" s="21" t="s">
        <v>195</v>
      </c>
      <c r="W5" s="21" t="s">
        <v>196</v>
      </c>
      <c r="X5" s="23" t="s">
        <v>122</v>
      </c>
      <c r="Y5" s="23" t="s">
        <v>124</v>
      </c>
      <c r="Z5" s="23" t="s">
        <v>126</v>
      </c>
      <c r="AA5" s="23" t="s">
        <v>128</v>
      </c>
      <c r="AB5" s="23" t="s">
        <v>130</v>
      </c>
      <c r="AC5" s="23" t="s">
        <v>197</v>
      </c>
      <c r="AD5" s="180" t="s">
        <v>198</v>
      </c>
      <c r="AE5" s="23" t="s">
        <v>199</v>
      </c>
      <c r="AF5" s="212" t="s">
        <v>200</v>
      </c>
      <c r="AG5" s="367" t="s">
        <v>140</v>
      </c>
      <c r="AH5" s="368"/>
      <c r="AI5" s="368"/>
      <c r="AJ5" s="369"/>
      <c r="AK5" s="24" t="s">
        <v>201</v>
      </c>
      <c r="AL5" s="370" t="s">
        <v>202</v>
      </c>
      <c r="AM5" s="371"/>
      <c r="AN5" s="371"/>
      <c r="AO5" s="372"/>
      <c r="AP5" s="24" t="s">
        <v>203</v>
      </c>
      <c r="AQ5" s="373" t="s">
        <v>148</v>
      </c>
      <c r="AR5" s="374"/>
      <c r="AS5" s="374"/>
      <c r="AT5" s="374"/>
      <c r="AU5" s="187" t="s">
        <v>204</v>
      </c>
      <c r="AV5" s="184" t="s">
        <v>205</v>
      </c>
      <c r="AW5" s="25" t="s">
        <v>206</v>
      </c>
      <c r="AX5" s="25" t="s">
        <v>207</v>
      </c>
      <c r="AY5" s="25" t="s">
        <v>208</v>
      </c>
      <c r="AZ5" s="25" t="s">
        <v>209</v>
      </c>
      <c r="BA5" s="25" t="s">
        <v>210</v>
      </c>
      <c r="BB5" s="25" t="s">
        <v>211</v>
      </c>
      <c r="BC5" s="25" t="s">
        <v>212</v>
      </c>
      <c r="BD5" s="26" t="s">
        <v>213</v>
      </c>
      <c r="BE5" s="26" t="s">
        <v>214</v>
      </c>
      <c r="BF5" s="26" t="s">
        <v>215</v>
      </c>
      <c r="BG5" s="26" t="s">
        <v>216</v>
      </c>
      <c r="BH5" s="26" t="s">
        <v>217</v>
      </c>
      <c r="BI5" s="27" t="s">
        <v>218</v>
      </c>
      <c r="BJ5" s="346" t="s">
        <v>219</v>
      </c>
      <c r="BK5" s="346" t="s">
        <v>220</v>
      </c>
      <c r="BL5" s="346" t="s">
        <v>221</v>
      </c>
      <c r="BM5" s="14"/>
      <c r="BN5" s="14"/>
      <c r="BO5" s="14"/>
    </row>
    <row r="6" spans="1:67" ht="68.25" customHeight="1">
      <c r="A6" s="194"/>
      <c r="B6" s="213"/>
      <c r="C6" s="214"/>
      <c r="D6" s="28">
        <v>2020</v>
      </c>
      <c r="E6" s="28">
        <v>2021</v>
      </c>
      <c r="F6" s="28">
        <v>2022</v>
      </c>
      <c r="G6" s="28">
        <v>2023</v>
      </c>
      <c r="H6" s="28">
        <v>2020</v>
      </c>
      <c r="I6" s="28">
        <v>2021</v>
      </c>
      <c r="J6" s="28">
        <v>2022</v>
      </c>
      <c r="K6" s="28">
        <v>2023</v>
      </c>
      <c r="L6" s="28">
        <v>2020</v>
      </c>
      <c r="M6" s="28">
        <v>2021</v>
      </c>
      <c r="N6" s="28">
        <v>2022</v>
      </c>
      <c r="O6" s="28">
        <v>2020</v>
      </c>
      <c r="P6" s="28">
        <v>2021</v>
      </c>
      <c r="Q6" s="28">
        <v>2022</v>
      </c>
      <c r="R6" s="28">
        <v>2023</v>
      </c>
      <c r="S6" s="194"/>
      <c r="T6" s="194"/>
      <c r="U6" s="194"/>
      <c r="V6" s="194"/>
      <c r="W6" s="194"/>
      <c r="X6" s="214"/>
      <c r="Y6" s="214"/>
      <c r="Z6" s="214"/>
      <c r="AA6" s="214"/>
      <c r="AB6" s="214"/>
      <c r="AC6" s="214"/>
      <c r="AD6" s="214"/>
      <c r="AE6" s="214"/>
      <c r="AF6" s="29" t="s">
        <v>222</v>
      </c>
      <c r="AG6" s="29">
        <v>2020</v>
      </c>
      <c r="AH6" s="29">
        <v>2021</v>
      </c>
      <c r="AI6" s="29">
        <v>2022</v>
      </c>
      <c r="AJ6" s="29">
        <v>2023</v>
      </c>
      <c r="AK6" s="215"/>
      <c r="AL6" s="30">
        <v>2020</v>
      </c>
      <c r="AM6" s="30">
        <v>2021</v>
      </c>
      <c r="AN6" s="30">
        <v>2022</v>
      </c>
      <c r="AO6" s="30">
        <v>2023</v>
      </c>
      <c r="AP6" s="215"/>
      <c r="AQ6" s="30">
        <v>2020</v>
      </c>
      <c r="AR6" s="30">
        <v>2021</v>
      </c>
      <c r="AS6" s="30">
        <v>2022</v>
      </c>
      <c r="AT6" s="179">
        <v>2023</v>
      </c>
      <c r="AU6" s="187"/>
      <c r="AV6" s="185"/>
      <c r="AW6" s="216"/>
      <c r="AX6" s="216"/>
      <c r="AY6" s="216"/>
      <c r="AZ6" s="216"/>
      <c r="BA6" s="216"/>
      <c r="BB6" s="216"/>
      <c r="BC6" s="216"/>
      <c r="BD6" s="217"/>
      <c r="BE6" s="217"/>
      <c r="BF6" s="217"/>
      <c r="BG6" s="217"/>
      <c r="BH6" s="217"/>
      <c r="BI6" s="218"/>
      <c r="BJ6" s="347"/>
      <c r="BK6" s="347"/>
      <c r="BL6" s="347"/>
      <c r="BM6" s="14"/>
      <c r="BN6" s="14"/>
      <c r="BO6" s="14"/>
    </row>
    <row r="7" spans="1:67" ht="20.100000000000001" customHeight="1">
      <c r="A7" s="31" t="s">
        <v>223</v>
      </c>
      <c r="B7" s="32"/>
      <c r="C7" s="33"/>
      <c r="D7" s="33"/>
      <c r="E7" s="34"/>
      <c r="F7" s="34"/>
      <c r="G7" s="34"/>
      <c r="H7" s="34"/>
      <c r="I7" s="34"/>
      <c r="J7" s="34"/>
      <c r="K7" s="34"/>
      <c r="L7" s="34"/>
      <c r="M7" s="34"/>
      <c r="N7" s="34"/>
      <c r="O7" s="35">
        <f t="shared" ref="O7:R7" si="0">+O8</f>
        <v>0.66680499999999998</v>
      </c>
      <c r="P7" s="35">
        <f t="shared" si="0"/>
        <v>0.98320000000000007</v>
      </c>
      <c r="Q7" s="35">
        <f t="shared" si="0"/>
        <v>0.93986438381385951</v>
      </c>
      <c r="R7" s="35">
        <f t="shared" si="0"/>
        <v>0.95957425141881636</v>
      </c>
      <c r="S7" s="201"/>
      <c r="T7" s="201"/>
      <c r="U7" s="201"/>
      <c r="V7" s="201"/>
      <c r="W7" s="201"/>
      <c r="X7" s="36"/>
      <c r="Y7" s="36"/>
      <c r="Z7" s="36"/>
      <c r="AA7" s="36"/>
      <c r="AB7" s="36"/>
      <c r="AC7" s="37"/>
      <c r="AD7" s="37"/>
      <c r="AE7" s="35">
        <f t="shared" ref="AE7:AE8" si="1">+AE8</f>
        <v>0.83411608434191242</v>
      </c>
      <c r="AF7" s="35"/>
      <c r="AG7" s="35"/>
      <c r="AH7" s="35"/>
      <c r="AI7" s="35"/>
      <c r="AJ7" s="35"/>
      <c r="AK7" s="302"/>
      <c r="AL7" s="302"/>
      <c r="AM7" s="302"/>
      <c r="AN7" s="302"/>
      <c r="AO7" s="302"/>
      <c r="AP7" s="38"/>
      <c r="AQ7" s="39"/>
      <c r="AR7" s="39"/>
      <c r="AS7" s="39"/>
      <c r="AT7" s="183"/>
      <c r="AU7" s="189"/>
      <c r="AV7" s="188">
        <f t="shared" ref="AV7:BB7" si="2">+AV8+AV29</f>
        <v>0</v>
      </c>
      <c r="AW7" s="41">
        <f t="shared" si="2"/>
        <v>0</v>
      </c>
      <c r="AX7" s="41">
        <f t="shared" si="2"/>
        <v>0</v>
      </c>
      <c r="AY7" s="41">
        <f t="shared" si="2"/>
        <v>0</v>
      </c>
      <c r="AZ7" s="41">
        <f t="shared" si="2"/>
        <v>0</v>
      </c>
      <c r="BA7" s="41">
        <f t="shared" si="2"/>
        <v>0</v>
      </c>
      <c r="BB7" s="41">
        <f t="shared" si="2"/>
        <v>0</v>
      </c>
      <c r="BC7" s="36" t="e">
        <f t="shared" ref="BC7:BC8" si="3">+BB7/BA7</f>
        <v>#DIV/0!</v>
      </c>
      <c r="BD7" s="33"/>
      <c r="BE7" s="33"/>
      <c r="BF7" s="35"/>
      <c r="BG7" s="33"/>
      <c r="BH7" s="35"/>
      <c r="BI7" s="33"/>
      <c r="BJ7" s="348"/>
      <c r="BK7" s="348"/>
      <c r="BL7" s="348"/>
      <c r="BM7" s="10"/>
      <c r="BN7" s="10"/>
      <c r="BO7" s="10"/>
    </row>
    <row r="8" spans="1:67" ht="27.75" customHeight="1">
      <c r="A8" s="42" t="s">
        <v>224</v>
      </c>
      <c r="B8" s="43"/>
      <c r="C8" s="44"/>
      <c r="D8" s="44"/>
      <c r="E8" s="45"/>
      <c r="F8" s="45"/>
      <c r="G8" s="46"/>
      <c r="H8" s="45"/>
      <c r="I8" s="45"/>
      <c r="J8" s="46"/>
      <c r="K8" s="45"/>
      <c r="L8" s="45"/>
      <c r="M8" s="46"/>
      <c r="N8" s="46"/>
      <c r="O8" s="47">
        <f>+(O10*AG10)+(O20*AG20)</f>
        <v>0.66680499999999998</v>
      </c>
      <c r="P8" s="47">
        <f>+(P10*AH10)+(P20*AH20)</f>
        <v>0.98320000000000007</v>
      </c>
      <c r="Q8" s="47">
        <f>+(Q10*AI10)+(Q20*AI20)</f>
        <v>0.93986438381385951</v>
      </c>
      <c r="R8" s="47">
        <f>+(R10*AJ10)+(R20*AJ20)</f>
        <v>0.95957425141881636</v>
      </c>
      <c r="S8" s="47"/>
      <c r="T8" s="47"/>
      <c r="U8" s="47"/>
      <c r="V8" s="47"/>
      <c r="W8" s="47"/>
      <c r="X8" s="43"/>
      <c r="Y8" s="44"/>
      <c r="Z8" s="44"/>
      <c r="AA8" s="44"/>
      <c r="AB8" s="44"/>
      <c r="AC8" s="48"/>
      <c r="AD8" s="48"/>
      <c r="AE8" s="47">
        <f t="shared" si="1"/>
        <v>0.83411608434191242</v>
      </c>
      <c r="AF8" s="47"/>
      <c r="AG8" s="47"/>
      <c r="AH8" s="47"/>
      <c r="AI8" s="47"/>
      <c r="AJ8" s="47"/>
      <c r="AK8" s="303">
        <f t="shared" ref="AK8:AO8" si="4">+AK10+AK20</f>
        <v>5882727014</v>
      </c>
      <c r="AL8" s="303">
        <f t="shared" si="4"/>
        <v>2355788706</v>
      </c>
      <c r="AM8" s="303">
        <f t="shared" si="4"/>
        <v>3454011819</v>
      </c>
      <c r="AN8" s="303">
        <f t="shared" si="4"/>
        <v>6401334989</v>
      </c>
      <c r="AO8" s="303">
        <f t="shared" si="4"/>
        <v>4667052764</v>
      </c>
      <c r="AP8" s="50">
        <f t="shared" ref="AP8:AP24" si="5">+AO8/AK8</f>
        <v>0.79334851895950986</v>
      </c>
      <c r="AQ8" s="51">
        <f t="shared" ref="AQ8:AS8" si="6">+AQ10+AQ18+AQ20</f>
        <v>0</v>
      </c>
      <c r="AR8" s="51">
        <f t="shared" si="6"/>
        <v>0</v>
      </c>
      <c r="AS8" s="51">
        <f t="shared" si="6"/>
        <v>0</v>
      </c>
      <c r="AT8" s="319">
        <f>+AT9</f>
        <v>2433918182</v>
      </c>
      <c r="AU8" s="320">
        <f t="shared" ref="AU8:AU24" si="7">+AT8/AK8</f>
        <v>0.41373978024267372</v>
      </c>
      <c r="AV8" s="307">
        <f t="shared" ref="AV8:BB8" si="8">+AV10+AV18+AV20</f>
        <v>0</v>
      </c>
      <c r="AW8" s="308">
        <f t="shared" si="8"/>
        <v>0</v>
      </c>
      <c r="AX8" s="308">
        <f t="shared" si="8"/>
        <v>0</v>
      </c>
      <c r="AY8" s="308">
        <f t="shared" si="8"/>
        <v>0</v>
      </c>
      <c r="AZ8" s="308">
        <f t="shared" si="8"/>
        <v>0</v>
      </c>
      <c r="BA8" s="308">
        <f t="shared" si="8"/>
        <v>0</v>
      </c>
      <c r="BB8" s="308">
        <f t="shared" si="8"/>
        <v>0</v>
      </c>
      <c r="BC8" s="321" t="e">
        <f t="shared" si="3"/>
        <v>#DIV/0!</v>
      </c>
      <c r="BD8" s="299">
        <f t="shared" ref="BD8:BE8" si="9">+BD10+BD20</f>
        <v>22990779533</v>
      </c>
      <c r="BE8" s="299">
        <f t="shared" si="9"/>
        <v>16878188278</v>
      </c>
      <c r="BF8" s="322">
        <f t="shared" ref="BF8:BF24" si="10">+BE8/BD8</f>
        <v>0.73412857766626649</v>
      </c>
      <c r="BG8" s="299">
        <f>+BG10+BG20</f>
        <v>2433918182</v>
      </c>
      <c r="BH8" s="322">
        <f t="shared" ref="BH8:BH27" si="11">+BG8/BD8</f>
        <v>0.10586496984612705</v>
      </c>
      <c r="BI8" s="49"/>
      <c r="BJ8" s="349" t="s">
        <v>67</v>
      </c>
      <c r="BK8" s="349" t="s">
        <v>86</v>
      </c>
      <c r="BL8" s="349" t="s">
        <v>225</v>
      </c>
      <c r="BM8" s="10"/>
      <c r="BN8" s="10"/>
      <c r="BO8" s="10"/>
    </row>
    <row r="9" spans="1:67" ht="25.5" customHeight="1">
      <c r="A9" s="52" t="s">
        <v>226</v>
      </c>
      <c r="B9" s="53"/>
      <c r="C9" s="53"/>
      <c r="D9" s="53"/>
      <c r="E9" s="53"/>
      <c r="F9" s="53"/>
      <c r="G9" s="53"/>
      <c r="H9" s="53"/>
      <c r="I9" s="53"/>
      <c r="J9" s="53"/>
      <c r="K9" s="53"/>
      <c r="L9" s="45"/>
      <c r="M9" s="46"/>
      <c r="N9" s="46"/>
      <c r="O9" s="47">
        <f>+(O10*AG10)+(O20*AG20)</f>
        <v>0.66680499999999998</v>
      </c>
      <c r="P9" s="47">
        <f>+(P10*AH10)+(P20*AH20)</f>
        <v>0.98320000000000007</v>
      </c>
      <c r="Q9" s="47">
        <f>+(Q10*AI10)+(Q20*AI20)</f>
        <v>0.93986438381385951</v>
      </c>
      <c r="R9" s="47">
        <f>+(R10*AJ10)+(R20*AJ20)</f>
        <v>0.95957425141881636</v>
      </c>
      <c r="S9" s="47"/>
      <c r="T9" s="47"/>
      <c r="U9" s="47"/>
      <c r="V9" s="47"/>
      <c r="W9" s="47"/>
      <c r="X9" s="43"/>
      <c r="Y9" s="44"/>
      <c r="Z9" s="44"/>
      <c r="AA9" s="44"/>
      <c r="AB9" s="44"/>
      <c r="AC9" s="48"/>
      <c r="AD9" s="48"/>
      <c r="AE9" s="47">
        <f>+(AE10*AF10)+(AE20*AF20)</f>
        <v>0.83411608434191242</v>
      </c>
      <c r="AF9" s="47"/>
      <c r="AG9" s="47"/>
      <c r="AH9" s="47"/>
      <c r="AI9" s="47"/>
      <c r="AJ9" s="47"/>
      <c r="AK9" s="303">
        <f t="shared" ref="AK9:AO9" si="12">+AK10+AK20</f>
        <v>5882727014</v>
      </c>
      <c r="AL9" s="303">
        <f t="shared" si="12"/>
        <v>2355788706</v>
      </c>
      <c r="AM9" s="303">
        <f t="shared" si="12"/>
        <v>3454011819</v>
      </c>
      <c r="AN9" s="303">
        <f t="shared" si="12"/>
        <v>6401334989</v>
      </c>
      <c r="AO9" s="303">
        <f t="shared" si="12"/>
        <v>4667052764</v>
      </c>
      <c r="AP9" s="50">
        <f t="shared" si="5"/>
        <v>0.79334851895950986</v>
      </c>
      <c r="AQ9" s="181"/>
      <c r="AR9" s="181"/>
      <c r="AS9" s="181"/>
      <c r="AT9" s="319">
        <f>+AT10+AT20</f>
        <v>2433918182</v>
      </c>
      <c r="AU9" s="320">
        <f t="shared" si="7"/>
        <v>0.41373978024267372</v>
      </c>
      <c r="AV9" s="307"/>
      <c r="AW9" s="308"/>
      <c r="AX9" s="308"/>
      <c r="AY9" s="308"/>
      <c r="AZ9" s="308"/>
      <c r="BA9" s="308"/>
      <c r="BB9" s="308"/>
      <c r="BC9" s="321"/>
      <c r="BD9" s="299">
        <f t="shared" ref="BD9:BE9" si="13">+BD10+BD20</f>
        <v>22990779533</v>
      </c>
      <c r="BE9" s="299">
        <f t="shared" si="13"/>
        <v>16878188278</v>
      </c>
      <c r="BF9" s="322">
        <f t="shared" si="10"/>
        <v>0.73412857766626649</v>
      </c>
      <c r="BG9" s="299">
        <f>+BG10+BG20</f>
        <v>2433918182</v>
      </c>
      <c r="BH9" s="322">
        <f t="shared" si="11"/>
        <v>0.10586496984612705</v>
      </c>
      <c r="BI9" s="49"/>
      <c r="BJ9" s="349" t="s">
        <v>67</v>
      </c>
      <c r="BK9" s="349" t="s">
        <v>86</v>
      </c>
      <c r="BL9" s="349" t="s">
        <v>225</v>
      </c>
      <c r="BM9" s="10"/>
      <c r="BN9" s="10"/>
      <c r="BO9" s="10"/>
    </row>
    <row r="10" spans="1:67" ht="25.5" customHeight="1">
      <c r="A10" s="195" t="s">
        <v>227</v>
      </c>
      <c r="B10" s="53"/>
      <c r="C10" s="53"/>
      <c r="D10" s="53"/>
      <c r="E10" s="53"/>
      <c r="F10" s="53"/>
      <c r="G10" s="53"/>
      <c r="H10" s="53"/>
      <c r="I10" s="53"/>
      <c r="J10" s="53"/>
      <c r="K10" s="53"/>
      <c r="L10" s="53"/>
      <c r="M10" s="53"/>
      <c r="N10" s="53"/>
      <c r="O10" s="54">
        <f>+SUMPRODUCT(O11:O19,AG11:AG19)</f>
        <v>0.78580000000000005</v>
      </c>
      <c r="P10" s="54">
        <f>+SUMPRODUCT(P11:P19,AH11:AH19)</f>
        <v>0.9720000000000002</v>
      </c>
      <c r="Q10" s="54">
        <f>+SUMPRODUCT(Q11:Q19,AI11:AI19)</f>
        <v>0.89811333333333332</v>
      </c>
      <c r="R10" s="54">
        <f>+SUMPRODUCT(R11:R19,AJ11:AJ19)</f>
        <v>0.96804762999999983</v>
      </c>
      <c r="S10" s="202"/>
      <c r="T10" s="202"/>
      <c r="U10" s="202"/>
      <c r="V10" s="202"/>
      <c r="W10" s="202"/>
      <c r="X10" s="55"/>
      <c r="Y10" s="56"/>
      <c r="Z10" s="56"/>
      <c r="AA10" s="56"/>
      <c r="AB10" s="56"/>
      <c r="AC10" s="57"/>
      <c r="AD10" s="57"/>
      <c r="AE10" s="54">
        <f>+SUMPRODUCT(AE11:AE19,AF11:AF19)</f>
        <v>0.80665561916666662</v>
      </c>
      <c r="AF10" s="54">
        <f t="shared" ref="AF10:AF27" si="14">SUM(AG10:AJ10)/4</f>
        <v>0.49524999999999997</v>
      </c>
      <c r="AG10" s="54">
        <v>0.48099999999999998</v>
      </c>
      <c r="AH10" s="54">
        <v>0.5</v>
      </c>
      <c r="AI10" s="54">
        <v>0.5</v>
      </c>
      <c r="AJ10" s="54">
        <v>0.5</v>
      </c>
      <c r="AK10" s="295">
        <f t="shared" ref="AK10:AO10" si="15">SUM(AK11:AK19)</f>
        <v>4178471576</v>
      </c>
      <c r="AL10" s="306">
        <f t="shared" si="15"/>
        <v>1971081065</v>
      </c>
      <c r="AM10" s="306">
        <f t="shared" si="15"/>
        <v>2002028642</v>
      </c>
      <c r="AN10" s="295">
        <f t="shared" si="15"/>
        <v>4829118261</v>
      </c>
      <c r="AO10" s="295">
        <f t="shared" si="15"/>
        <v>3478539395</v>
      </c>
      <c r="AP10" s="59">
        <f t="shared" si="5"/>
        <v>0.83249085981098458</v>
      </c>
      <c r="AQ10" s="182">
        <f t="shared" ref="AQ10:AS10" si="16">SUM(AQ11:AQ17)</f>
        <v>0</v>
      </c>
      <c r="AR10" s="182">
        <f t="shared" si="16"/>
        <v>0</v>
      </c>
      <c r="AS10" s="182">
        <f t="shared" si="16"/>
        <v>0</v>
      </c>
      <c r="AT10" s="323">
        <f>+SUM(AT11:AT19)</f>
        <v>1321600006</v>
      </c>
      <c r="AU10" s="324">
        <f t="shared" si="7"/>
        <v>0.31628790144006474</v>
      </c>
      <c r="AV10" s="309">
        <f t="shared" ref="AV10:BB10" si="17">SUM(AV11:AV17)</f>
        <v>0</v>
      </c>
      <c r="AW10" s="310">
        <f t="shared" si="17"/>
        <v>0</v>
      </c>
      <c r="AX10" s="310">
        <f t="shared" si="17"/>
        <v>0</v>
      </c>
      <c r="AY10" s="310">
        <f t="shared" si="17"/>
        <v>0</v>
      </c>
      <c r="AZ10" s="310">
        <f t="shared" si="17"/>
        <v>0</v>
      </c>
      <c r="BA10" s="310">
        <f t="shared" si="17"/>
        <v>0</v>
      </c>
      <c r="BB10" s="310">
        <f t="shared" si="17"/>
        <v>0</v>
      </c>
      <c r="BC10" s="325" t="e">
        <f t="shared" ref="BC10:BC27" si="18">+BB10/BA10</f>
        <v>#DIV/0!</v>
      </c>
      <c r="BD10" s="300">
        <f t="shared" ref="BD10:BE10" si="19">SUM(BD11:BD19)</f>
        <v>17383854122</v>
      </c>
      <c r="BE10" s="300">
        <f t="shared" si="19"/>
        <v>12280767363</v>
      </c>
      <c r="BF10" s="325">
        <f t="shared" si="10"/>
        <v>0.70644675667510182</v>
      </c>
      <c r="BG10" s="300">
        <f>SUM(BG11:BG19)</f>
        <v>1321600006</v>
      </c>
      <c r="BH10" s="325">
        <f t="shared" si="11"/>
        <v>7.6024568356648795E-2</v>
      </c>
      <c r="BI10" s="56"/>
      <c r="BJ10" s="350" t="s">
        <v>67</v>
      </c>
      <c r="BK10" s="350" t="s">
        <v>86</v>
      </c>
      <c r="BL10" s="350" t="s">
        <v>225</v>
      </c>
      <c r="BM10" s="62"/>
      <c r="BN10" s="62"/>
      <c r="BO10" s="62"/>
    </row>
    <row r="11" spans="1:67" ht="20.100000000000001" customHeight="1">
      <c r="A11" s="231" t="s">
        <v>228</v>
      </c>
      <c r="B11" s="241"/>
      <c r="C11" s="63" t="s">
        <v>229</v>
      </c>
      <c r="D11" s="64">
        <v>0</v>
      </c>
      <c r="E11" s="65">
        <v>100</v>
      </c>
      <c r="F11" s="220">
        <v>100</v>
      </c>
      <c r="G11" s="66">
        <v>100</v>
      </c>
      <c r="H11" s="64">
        <v>0</v>
      </c>
      <c r="I11" s="65">
        <v>94</v>
      </c>
      <c r="J11" s="67">
        <v>69.8</v>
      </c>
      <c r="K11" s="233">
        <v>71.33</v>
      </c>
      <c r="L11" s="68"/>
      <c r="M11" s="69"/>
      <c r="N11" s="69"/>
      <c r="O11" s="70">
        <v>0</v>
      </c>
      <c r="P11" s="70">
        <v>0.86</v>
      </c>
      <c r="Q11" s="70">
        <f>IF((J11+N11)/F11&gt;=100%,100%,(J11+N11)/F11)</f>
        <v>0.69799999999999995</v>
      </c>
      <c r="R11" s="71">
        <f t="shared" ref="R11:R17" si="20">IF(K11/G11&gt;=100%,100%,K11/G11)</f>
        <v>0.71329999999999993</v>
      </c>
      <c r="S11" s="232"/>
      <c r="T11" s="232"/>
      <c r="U11" s="250"/>
      <c r="V11" s="231"/>
      <c r="W11" s="231"/>
      <c r="X11" s="72">
        <v>45230</v>
      </c>
      <c r="Y11" s="73"/>
      <c r="Z11" s="63"/>
      <c r="AA11" s="74"/>
      <c r="AB11" s="75"/>
      <c r="AC11" s="76">
        <f t="shared" ref="AC11:AC17" si="21">SUM(D11:G11)</f>
        <v>300</v>
      </c>
      <c r="AD11" s="76">
        <f t="shared" ref="AD11:AD17" si="22">SUM(H11:N11)</f>
        <v>235.13</v>
      </c>
      <c r="AE11" s="71">
        <f t="shared" ref="AE11:AE17" si="23">IF(AD11/AC11&gt;=100%,100%,AD11/AC11)</f>
        <v>0.78376666666666661</v>
      </c>
      <c r="AF11" s="54">
        <f t="shared" si="14"/>
        <v>8.0275000000000013E-2</v>
      </c>
      <c r="AG11" s="77">
        <v>0</v>
      </c>
      <c r="AH11" s="78">
        <v>0.1</v>
      </c>
      <c r="AI11" s="70">
        <v>0.11</v>
      </c>
      <c r="AJ11" s="70">
        <v>0.1111</v>
      </c>
      <c r="AK11" s="301">
        <v>351905000</v>
      </c>
      <c r="AL11" s="301">
        <v>0</v>
      </c>
      <c r="AM11" s="301">
        <f>137241879+3038162</f>
        <v>140280041</v>
      </c>
      <c r="AN11" s="301">
        <v>226706839</v>
      </c>
      <c r="AO11" s="301">
        <v>250998079</v>
      </c>
      <c r="AP11" s="79">
        <f t="shared" si="5"/>
        <v>0.71325522229010674</v>
      </c>
      <c r="AQ11" s="80"/>
      <c r="AR11" s="81"/>
      <c r="AS11" s="82"/>
      <c r="AT11" s="326">
        <v>244928695</v>
      </c>
      <c r="AU11" s="327">
        <f t="shared" si="7"/>
        <v>0.69600799931799773</v>
      </c>
      <c r="AV11" s="311"/>
      <c r="AW11" s="311"/>
      <c r="AX11" s="311"/>
      <c r="AY11" s="311"/>
      <c r="AZ11" s="311"/>
      <c r="BA11" s="311"/>
      <c r="BB11" s="311"/>
      <c r="BC11" s="328" t="e">
        <f t="shared" si="18"/>
        <v>#DIV/0!</v>
      </c>
      <c r="BD11" s="317">
        <f>436592001+AK11</f>
        <v>788497001</v>
      </c>
      <c r="BE11" s="312">
        <f t="shared" ref="BE11:BE19" si="24">+AL11+AM11+AN11+AO11</f>
        <v>617984959</v>
      </c>
      <c r="BF11" s="328">
        <f t="shared" si="10"/>
        <v>0.78375055100558333</v>
      </c>
      <c r="BG11" s="312">
        <f t="shared" ref="BG11:BG19" si="25">SUM(AQ11:AT11)+AX11+AZ11+BB11</f>
        <v>244928695</v>
      </c>
      <c r="BH11" s="328">
        <f t="shared" si="11"/>
        <v>0.31062730066109662</v>
      </c>
      <c r="BI11" s="85"/>
      <c r="BJ11" s="254" t="s">
        <v>81</v>
      </c>
      <c r="BK11" s="254" t="s">
        <v>83</v>
      </c>
      <c r="BL11" s="231" t="s">
        <v>230</v>
      </c>
      <c r="BM11" s="10"/>
      <c r="BN11" s="10"/>
      <c r="BO11" s="10"/>
    </row>
    <row r="12" spans="1:67" ht="60" customHeight="1">
      <c r="A12" s="231" t="s">
        <v>231</v>
      </c>
      <c r="B12" s="241" t="s">
        <v>232</v>
      </c>
      <c r="C12" s="86" t="s">
        <v>233</v>
      </c>
      <c r="D12" s="64">
        <v>320</v>
      </c>
      <c r="E12" s="65">
        <v>617</v>
      </c>
      <c r="F12" s="220">
        <v>405</v>
      </c>
      <c r="G12" s="221">
        <v>400</v>
      </c>
      <c r="H12" s="64">
        <v>320</v>
      </c>
      <c r="I12" s="65">
        <v>617</v>
      </c>
      <c r="J12" s="67">
        <v>1214.9100000000001</v>
      </c>
      <c r="K12" s="234">
        <v>400</v>
      </c>
      <c r="L12" s="68"/>
      <c r="M12" s="69"/>
      <c r="N12" s="69"/>
      <c r="O12" s="70">
        <v>1</v>
      </c>
      <c r="P12" s="70">
        <f t="shared" ref="P12:Q12" si="26">IF((I12+M12)/E12&gt;=100%,100%,(I12+M12)/E12)</f>
        <v>1</v>
      </c>
      <c r="Q12" s="70">
        <f t="shared" si="26"/>
        <v>1</v>
      </c>
      <c r="R12" s="71">
        <f t="shared" si="20"/>
        <v>1</v>
      </c>
      <c r="S12" s="254" t="s">
        <v>234</v>
      </c>
      <c r="T12" s="253" t="s">
        <v>235</v>
      </c>
      <c r="U12" s="255" t="s">
        <v>236</v>
      </c>
      <c r="V12" s="230" t="s">
        <v>237</v>
      </c>
      <c r="W12" s="256" t="s">
        <v>238</v>
      </c>
      <c r="X12" s="72">
        <v>45230</v>
      </c>
      <c r="Y12" s="73"/>
      <c r="Z12" s="63"/>
      <c r="AA12" s="74"/>
      <c r="AB12" s="75"/>
      <c r="AC12" s="76">
        <f t="shared" si="21"/>
        <v>1742</v>
      </c>
      <c r="AD12" s="76">
        <f t="shared" si="22"/>
        <v>2551.91</v>
      </c>
      <c r="AE12" s="71">
        <f t="shared" si="23"/>
        <v>1</v>
      </c>
      <c r="AF12" s="54">
        <f t="shared" si="14"/>
        <v>0.20707499999999998</v>
      </c>
      <c r="AG12" s="87">
        <v>0.2072</v>
      </c>
      <c r="AH12" s="285">
        <v>0.4</v>
      </c>
      <c r="AI12" s="70">
        <v>0.11</v>
      </c>
      <c r="AJ12" s="70">
        <v>0.1111</v>
      </c>
      <c r="AK12" s="301">
        <v>2443767699</v>
      </c>
      <c r="AL12" s="301">
        <v>1149599253</v>
      </c>
      <c r="AM12" s="301">
        <v>1107509440</v>
      </c>
      <c r="AN12" s="301">
        <v>3301169223</v>
      </c>
      <c r="AO12" s="301">
        <v>2010743779</v>
      </c>
      <c r="AP12" s="79">
        <f t="shared" si="5"/>
        <v>0.82280479434391607</v>
      </c>
      <c r="AQ12" s="80"/>
      <c r="AR12" s="81"/>
      <c r="AS12" s="82"/>
      <c r="AT12" s="326">
        <v>410428312</v>
      </c>
      <c r="AU12" s="329">
        <f t="shared" si="7"/>
        <v>0.16794898801876668</v>
      </c>
      <c r="AV12" s="311"/>
      <c r="AW12" s="311"/>
      <c r="AX12" s="311"/>
      <c r="AY12" s="311"/>
      <c r="AZ12" s="311"/>
      <c r="BA12" s="311"/>
      <c r="BB12" s="311"/>
      <c r="BC12" s="330" t="e">
        <f t="shared" si="18"/>
        <v>#DIV/0!</v>
      </c>
      <c r="BD12" s="317">
        <f>8812493421+AK12</f>
        <v>11256261120</v>
      </c>
      <c r="BE12" s="312">
        <f t="shared" si="24"/>
        <v>7569021695</v>
      </c>
      <c r="BF12" s="328">
        <f t="shared" si="10"/>
        <v>0.6724276928465569</v>
      </c>
      <c r="BG12" s="312">
        <f t="shared" si="25"/>
        <v>410428312</v>
      </c>
      <c r="BH12" s="328">
        <f t="shared" si="11"/>
        <v>3.6462223790345048E-2</v>
      </c>
      <c r="BI12" s="85"/>
      <c r="BJ12" s="254" t="s">
        <v>67</v>
      </c>
      <c r="BK12" s="254" t="s">
        <v>86</v>
      </c>
      <c r="BL12" s="231" t="s">
        <v>225</v>
      </c>
      <c r="BM12" s="10"/>
      <c r="BN12" s="10"/>
      <c r="BO12" s="10"/>
    </row>
    <row r="13" spans="1:67" ht="36.75" customHeight="1">
      <c r="A13" s="231" t="s">
        <v>239</v>
      </c>
      <c r="B13" s="241" t="s">
        <v>240</v>
      </c>
      <c r="C13" s="86" t="s">
        <v>241</v>
      </c>
      <c r="D13" s="64">
        <v>27</v>
      </c>
      <c r="E13" s="65">
        <v>27</v>
      </c>
      <c r="F13" s="220">
        <v>27</v>
      </c>
      <c r="G13" s="222">
        <v>27</v>
      </c>
      <c r="H13" s="64">
        <v>27</v>
      </c>
      <c r="I13" s="65">
        <v>27</v>
      </c>
      <c r="J13" s="67">
        <v>27</v>
      </c>
      <c r="K13" s="235">
        <v>27</v>
      </c>
      <c r="L13" s="68"/>
      <c r="M13" s="69"/>
      <c r="N13" s="69"/>
      <c r="O13" s="70">
        <v>1</v>
      </c>
      <c r="P13" s="70">
        <f t="shared" ref="P13:Q13" si="27">IF((I13+M13)/E13&gt;=100%,100%,(I13+M13)/E13)</f>
        <v>1</v>
      </c>
      <c r="Q13" s="70">
        <f t="shared" si="27"/>
        <v>1</v>
      </c>
      <c r="R13" s="70">
        <f t="shared" si="20"/>
        <v>1</v>
      </c>
      <c r="S13" s="256" t="s">
        <v>242</v>
      </c>
      <c r="T13" s="256" t="s">
        <v>243</v>
      </c>
      <c r="U13" s="257" t="s">
        <v>244</v>
      </c>
      <c r="V13" s="230" t="s">
        <v>245</v>
      </c>
      <c r="W13" s="256" t="s">
        <v>246</v>
      </c>
      <c r="X13" s="72">
        <v>45230</v>
      </c>
      <c r="Y13" s="73"/>
      <c r="Z13" s="73"/>
      <c r="AA13" s="85"/>
      <c r="AB13" s="88"/>
      <c r="AC13" s="89">
        <f t="shared" si="21"/>
        <v>108</v>
      </c>
      <c r="AD13" s="89">
        <f t="shared" si="22"/>
        <v>108</v>
      </c>
      <c r="AE13" s="90">
        <f t="shared" si="23"/>
        <v>1</v>
      </c>
      <c r="AF13" s="54">
        <f t="shared" si="14"/>
        <v>9.7275E-2</v>
      </c>
      <c r="AG13" s="91">
        <v>5.8000000000000003E-2</v>
      </c>
      <c r="AH13" s="284">
        <v>0.11</v>
      </c>
      <c r="AI13" s="84">
        <v>0.11</v>
      </c>
      <c r="AJ13" s="84">
        <v>0.1111</v>
      </c>
      <c r="AK13" s="301">
        <v>502911268</v>
      </c>
      <c r="AL13" s="301">
        <v>305102742</v>
      </c>
      <c r="AM13" s="301">
        <v>261100249</v>
      </c>
      <c r="AN13" s="301">
        <v>277322217</v>
      </c>
      <c r="AO13" s="301">
        <v>453516410</v>
      </c>
      <c r="AP13" s="79">
        <f t="shared" si="5"/>
        <v>0.90178216090397878</v>
      </c>
      <c r="AQ13" s="80"/>
      <c r="AR13" s="93"/>
      <c r="AS13" s="82"/>
      <c r="AT13" s="326">
        <v>314707266</v>
      </c>
      <c r="AU13" s="329">
        <f t="shared" si="7"/>
        <v>0.62577095806888938</v>
      </c>
      <c r="AV13" s="311"/>
      <c r="AW13" s="311"/>
      <c r="AX13" s="311"/>
      <c r="AY13" s="311"/>
      <c r="AZ13" s="311"/>
      <c r="BA13" s="311"/>
      <c r="BB13" s="311"/>
      <c r="BC13" s="328" t="e">
        <f t="shared" si="18"/>
        <v>#DIV/0!</v>
      </c>
      <c r="BD13" s="317">
        <f>952763392+AK13</f>
        <v>1455674660</v>
      </c>
      <c r="BE13" s="312">
        <f t="shared" si="24"/>
        <v>1297041618</v>
      </c>
      <c r="BF13" s="328">
        <f t="shared" si="10"/>
        <v>0.89102438452833954</v>
      </c>
      <c r="BG13" s="312">
        <f t="shared" si="25"/>
        <v>314707266</v>
      </c>
      <c r="BH13" s="328">
        <f t="shared" si="11"/>
        <v>0.21619340821664093</v>
      </c>
      <c r="BI13" s="85"/>
      <c r="BJ13" s="254" t="s">
        <v>67</v>
      </c>
      <c r="BK13" s="254" t="s">
        <v>86</v>
      </c>
      <c r="BL13" s="231" t="s">
        <v>225</v>
      </c>
      <c r="BM13" s="14"/>
      <c r="BN13" s="14"/>
      <c r="BO13" s="14"/>
    </row>
    <row r="14" spans="1:67" ht="35.25" customHeight="1">
      <c r="A14" s="231" t="s">
        <v>247</v>
      </c>
      <c r="B14" s="241" t="s">
        <v>248</v>
      </c>
      <c r="C14" s="86" t="s">
        <v>241</v>
      </c>
      <c r="D14" s="64">
        <v>10</v>
      </c>
      <c r="E14" s="65">
        <v>10</v>
      </c>
      <c r="F14" s="220">
        <v>10</v>
      </c>
      <c r="G14" s="221">
        <v>10</v>
      </c>
      <c r="H14" s="64">
        <v>10</v>
      </c>
      <c r="I14" s="65">
        <v>10</v>
      </c>
      <c r="J14" s="67">
        <v>8</v>
      </c>
      <c r="K14" s="234">
        <v>10</v>
      </c>
      <c r="L14" s="68"/>
      <c r="M14" s="68"/>
      <c r="N14" s="68"/>
      <c r="O14" s="70">
        <v>1</v>
      </c>
      <c r="P14" s="70">
        <f t="shared" ref="P14:Q14" si="28">IF((I14+M14)/E14&gt;=100%,100%,(I14+M14)/E14)</f>
        <v>1</v>
      </c>
      <c r="Q14" s="70">
        <f t="shared" si="28"/>
        <v>0.8</v>
      </c>
      <c r="R14" s="71">
        <f t="shared" si="20"/>
        <v>1</v>
      </c>
      <c r="S14" s="254" t="s">
        <v>249</v>
      </c>
      <c r="T14" s="253" t="s">
        <v>250</v>
      </c>
      <c r="U14" s="255" t="s">
        <v>251</v>
      </c>
      <c r="V14" s="230" t="s">
        <v>252</v>
      </c>
      <c r="W14" s="256" t="s">
        <v>253</v>
      </c>
      <c r="X14" s="72">
        <v>45230</v>
      </c>
      <c r="Y14" s="73"/>
      <c r="Z14" s="63"/>
      <c r="AA14" s="74"/>
      <c r="AB14" s="75"/>
      <c r="AC14" s="76">
        <f t="shared" si="21"/>
        <v>40</v>
      </c>
      <c r="AD14" s="76">
        <f t="shared" si="22"/>
        <v>38</v>
      </c>
      <c r="AE14" s="71">
        <f t="shared" si="23"/>
        <v>0.95</v>
      </c>
      <c r="AF14" s="54">
        <f t="shared" si="14"/>
        <v>0.14622499999999999</v>
      </c>
      <c r="AG14" s="77">
        <v>0.20380000000000001</v>
      </c>
      <c r="AH14" s="285">
        <v>0.16</v>
      </c>
      <c r="AI14" s="70">
        <v>0.11</v>
      </c>
      <c r="AJ14" s="70">
        <v>0.1111</v>
      </c>
      <c r="AK14" s="301">
        <v>264880000</v>
      </c>
      <c r="AL14" s="301">
        <v>266571763</v>
      </c>
      <c r="AM14" s="301">
        <v>67102671</v>
      </c>
      <c r="AN14" s="301">
        <v>390723536</v>
      </c>
      <c r="AO14" s="301">
        <v>148455144</v>
      </c>
      <c r="AP14" s="79">
        <f t="shared" si="5"/>
        <v>0.56046188462700086</v>
      </c>
      <c r="AQ14" s="80"/>
      <c r="AR14" s="81"/>
      <c r="AS14" s="82"/>
      <c r="AT14" s="326">
        <v>74476797</v>
      </c>
      <c r="AU14" s="329">
        <f t="shared" si="7"/>
        <v>0.28117184007852614</v>
      </c>
      <c r="AV14" s="311"/>
      <c r="AW14" s="311"/>
      <c r="AX14" s="311"/>
      <c r="AY14" s="311"/>
      <c r="AZ14" s="311"/>
      <c r="BA14" s="311"/>
      <c r="BB14" s="311"/>
      <c r="BC14" s="328" t="e">
        <f t="shared" si="18"/>
        <v>#DIV/0!</v>
      </c>
      <c r="BD14" s="317">
        <f>1379777960+AK14</f>
        <v>1644657960</v>
      </c>
      <c r="BE14" s="312">
        <f t="shared" si="24"/>
        <v>872853114</v>
      </c>
      <c r="BF14" s="328">
        <f t="shared" si="10"/>
        <v>0.53072014682007196</v>
      </c>
      <c r="BG14" s="312">
        <f t="shared" si="25"/>
        <v>74476797</v>
      </c>
      <c r="BH14" s="328">
        <f t="shared" si="11"/>
        <v>4.5284064414220206E-2</v>
      </c>
      <c r="BI14" s="85"/>
      <c r="BJ14" s="254" t="s">
        <v>67</v>
      </c>
      <c r="BK14" s="254" t="s">
        <v>87</v>
      </c>
      <c r="BL14" s="231" t="s">
        <v>225</v>
      </c>
      <c r="BM14" s="10"/>
      <c r="BN14" s="10"/>
      <c r="BO14" s="10"/>
    </row>
    <row r="15" spans="1:67" ht="52.5" customHeight="1">
      <c r="A15" s="231" t="s">
        <v>254</v>
      </c>
      <c r="B15" s="241" t="s">
        <v>255</v>
      </c>
      <c r="C15" s="86" t="s">
        <v>241</v>
      </c>
      <c r="D15" s="64">
        <v>0</v>
      </c>
      <c r="E15" s="65">
        <v>1</v>
      </c>
      <c r="F15" s="220">
        <v>2</v>
      </c>
      <c r="G15" s="222">
        <v>2</v>
      </c>
      <c r="H15" s="64">
        <v>0</v>
      </c>
      <c r="I15" s="65">
        <v>1</v>
      </c>
      <c r="J15" s="67">
        <v>2</v>
      </c>
      <c r="K15" s="235">
        <v>3</v>
      </c>
      <c r="L15" s="68"/>
      <c r="M15" s="69"/>
      <c r="N15" s="69"/>
      <c r="O15" s="70">
        <v>1</v>
      </c>
      <c r="P15" s="70">
        <f t="shared" ref="P15:Q15" si="29">IF((I15+M15)/E15&gt;=100%,100%,(I15+M15)/E15)</f>
        <v>1</v>
      </c>
      <c r="Q15" s="70">
        <f t="shared" si="29"/>
        <v>1</v>
      </c>
      <c r="R15" s="70">
        <f t="shared" si="20"/>
        <v>1</v>
      </c>
      <c r="S15" s="258" t="s">
        <v>256</v>
      </c>
      <c r="T15" s="253" t="s">
        <v>257</v>
      </c>
      <c r="U15" s="255" t="s">
        <v>258</v>
      </c>
      <c r="V15" s="230" t="s">
        <v>259</v>
      </c>
      <c r="W15" s="256" t="s">
        <v>260</v>
      </c>
      <c r="X15" s="72">
        <v>45230</v>
      </c>
      <c r="Y15" s="73"/>
      <c r="Z15" s="73"/>
      <c r="AA15" s="85"/>
      <c r="AB15" s="89"/>
      <c r="AC15" s="89">
        <f t="shared" si="21"/>
        <v>5</v>
      </c>
      <c r="AD15" s="89">
        <f t="shared" si="22"/>
        <v>6</v>
      </c>
      <c r="AE15" s="90">
        <f t="shared" si="23"/>
        <v>1</v>
      </c>
      <c r="AF15" s="54">
        <f t="shared" si="14"/>
        <v>7.4624999999999997E-2</v>
      </c>
      <c r="AG15" s="94">
        <v>1.14E-2</v>
      </c>
      <c r="AH15" s="284">
        <v>6.6000000000000003E-2</v>
      </c>
      <c r="AI15" s="84">
        <v>0.11</v>
      </c>
      <c r="AJ15" s="84">
        <v>0.1111</v>
      </c>
      <c r="AK15" s="301">
        <v>0</v>
      </c>
      <c r="AL15" s="301">
        <v>0</v>
      </c>
      <c r="AM15" s="301">
        <v>87479775</v>
      </c>
      <c r="AN15" s="301">
        <v>36601286</v>
      </c>
      <c r="AO15" s="301">
        <v>0</v>
      </c>
      <c r="AP15" s="79"/>
      <c r="AQ15" s="80"/>
      <c r="AR15" s="93"/>
      <c r="AS15" s="82"/>
      <c r="AT15" s="326">
        <v>0</v>
      </c>
      <c r="AU15" s="329" t="e">
        <f t="shared" si="7"/>
        <v>#DIV/0!</v>
      </c>
      <c r="AV15" s="311"/>
      <c r="AW15" s="311"/>
      <c r="AX15" s="311"/>
      <c r="AY15" s="311"/>
      <c r="AZ15" s="311"/>
      <c r="BA15" s="311"/>
      <c r="BB15" s="311"/>
      <c r="BC15" s="328" t="e">
        <f t="shared" si="18"/>
        <v>#DIV/0!</v>
      </c>
      <c r="BD15" s="317">
        <f>189341061+AK15</f>
        <v>189341061</v>
      </c>
      <c r="BE15" s="312">
        <f t="shared" si="24"/>
        <v>124081061</v>
      </c>
      <c r="BF15" s="328">
        <f t="shared" si="10"/>
        <v>0.65533096912349087</v>
      </c>
      <c r="BG15" s="312">
        <f t="shared" si="25"/>
        <v>0</v>
      </c>
      <c r="BH15" s="328">
        <f t="shared" si="11"/>
        <v>0</v>
      </c>
      <c r="BI15" s="85"/>
      <c r="BJ15" s="254" t="s">
        <v>67</v>
      </c>
      <c r="BK15" s="254" t="s">
        <v>93</v>
      </c>
      <c r="BL15" s="231" t="s">
        <v>225</v>
      </c>
      <c r="BM15" s="14"/>
      <c r="BN15" s="14"/>
      <c r="BO15" s="14"/>
    </row>
    <row r="16" spans="1:67" ht="54.75" customHeight="1">
      <c r="A16" s="231" t="s">
        <v>261</v>
      </c>
      <c r="B16" s="241" t="s">
        <v>262</v>
      </c>
      <c r="C16" s="86" t="s">
        <v>241</v>
      </c>
      <c r="D16" s="64">
        <v>1</v>
      </c>
      <c r="E16" s="65">
        <v>1</v>
      </c>
      <c r="F16" s="220">
        <v>4</v>
      </c>
      <c r="G16" s="222">
        <v>2</v>
      </c>
      <c r="H16" s="64">
        <v>1</v>
      </c>
      <c r="I16" s="65">
        <v>4</v>
      </c>
      <c r="J16" s="67">
        <v>7</v>
      </c>
      <c r="K16" s="235">
        <v>2</v>
      </c>
      <c r="L16" s="68"/>
      <c r="M16" s="69"/>
      <c r="N16" s="69"/>
      <c r="O16" s="70">
        <f t="shared" ref="O16:Q16" si="30">IF((H16+L16)/D16&gt;=100%,100%,(H16+L16)/D16)</f>
        <v>1</v>
      </c>
      <c r="P16" s="70">
        <f t="shared" si="30"/>
        <v>1</v>
      </c>
      <c r="Q16" s="70">
        <f t="shared" si="30"/>
        <v>1</v>
      </c>
      <c r="R16" s="70">
        <f t="shared" si="20"/>
        <v>1</v>
      </c>
      <c r="S16" s="258" t="s">
        <v>263</v>
      </c>
      <c r="T16" s="253" t="s">
        <v>264</v>
      </c>
      <c r="U16" s="255" t="s">
        <v>265</v>
      </c>
      <c r="V16" s="230" t="s">
        <v>266</v>
      </c>
      <c r="W16" s="256" t="s">
        <v>267</v>
      </c>
      <c r="X16" s="72">
        <v>45230</v>
      </c>
      <c r="Y16" s="73"/>
      <c r="Z16" s="73"/>
      <c r="AA16" s="85"/>
      <c r="AB16" s="89"/>
      <c r="AC16" s="89">
        <f t="shared" si="21"/>
        <v>8</v>
      </c>
      <c r="AD16" s="89">
        <f t="shared" si="22"/>
        <v>14</v>
      </c>
      <c r="AE16" s="90">
        <f t="shared" si="23"/>
        <v>1</v>
      </c>
      <c r="AF16" s="54">
        <f t="shared" si="14"/>
        <v>0.1018</v>
      </c>
      <c r="AG16" s="94">
        <v>0.12609999999999999</v>
      </c>
      <c r="AH16" s="284">
        <v>0.06</v>
      </c>
      <c r="AI16" s="84">
        <v>0.11</v>
      </c>
      <c r="AJ16" s="84">
        <v>0.1111</v>
      </c>
      <c r="AK16" s="301">
        <v>276060674</v>
      </c>
      <c r="AL16" s="301">
        <v>134663735</v>
      </c>
      <c r="AM16" s="301">
        <v>59270677</v>
      </c>
      <c r="AN16" s="301">
        <v>311667080</v>
      </c>
      <c r="AO16" s="301">
        <v>275879048</v>
      </c>
      <c r="AP16" s="79">
        <f t="shared" si="5"/>
        <v>0.99934207941548381</v>
      </c>
      <c r="AQ16" s="80"/>
      <c r="AR16" s="93"/>
      <c r="AS16" s="82"/>
      <c r="AT16" s="326">
        <v>147383339</v>
      </c>
      <c r="AU16" s="329">
        <f t="shared" si="7"/>
        <v>0.5338802403996159</v>
      </c>
      <c r="AV16" s="311"/>
      <c r="AW16" s="311"/>
      <c r="AX16" s="311"/>
      <c r="AY16" s="311"/>
      <c r="AZ16" s="311"/>
      <c r="BA16" s="311"/>
      <c r="BB16" s="311"/>
      <c r="BC16" s="328" t="e">
        <f t="shared" si="18"/>
        <v>#DIV/0!</v>
      </c>
      <c r="BD16" s="317">
        <f>659351678+AK16</f>
        <v>935412352</v>
      </c>
      <c r="BE16" s="312">
        <f t="shared" si="24"/>
        <v>781480540</v>
      </c>
      <c r="BF16" s="328">
        <f t="shared" si="10"/>
        <v>0.83543962010884376</v>
      </c>
      <c r="BG16" s="312">
        <f t="shared" si="25"/>
        <v>147383339</v>
      </c>
      <c r="BH16" s="328">
        <f t="shared" si="11"/>
        <v>0.15755975285646004</v>
      </c>
      <c r="BI16" s="85"/>
      <c r="BJ16" s="254" t="s">
        <v>67</v>
      </c>
      <c r="BK16" s="254" t="s">
        <v>86</v>
      </c>
      <c r="BL16" s="231" t="s">
        <v>225</v>
      </c>
      <c r="BM16" s="14"/>
      <c r="BN16" s="14"/>
      <c r="BO16" s="14"/>
    </row>
    <row r="17" spans="1:67" ht="49.5" customHeight="1">
      <c r="A17" s="231" t="s">
        <v>268</v>
      </c>
      <c r="B17" s="241" t="s">
        <v>269</v>
      </c>
      <c r="C17" s="86" t="s">
        <v>241</v>
      </c>
      <c r="D17" s="64">
        <v>3</v>
      </c>
      <c r="E17" s="65">
        <v>3</v>
      </c>
      <c r="F17" s="220">
        <v>3</v>
      </c>
      <c r="G17" s="221">
        <v>3</v>
      </c>
      <c r="H17" s="64">
        <v>3</v>
      </c>
      <c r="I17" s="65">
        <v>3</v>
      </c>
      <c r="J17" s="67">
        <v>2</v>
      </c>
      <c r="K17" s="234">
        <v>3</v>
      </c>
      <c r="L17" s="68"/>
      <c r="M17" s="69"/>
      <c r="N17" s="69"/>
      <c r="O17" s="70">
        <f t="shared" ref="O17:Q17" si="31">IF((H17+L17)/D17&gt;=100%,100%,(H17+L17)/D17)</f>
        <v>1</v>
      </c>
      <c r="P17" s="70">
        <f t="shared" si="31"/>
        <v>1</v>
      </c>
      <c r="Q17" s="70">
        <f t="shared" si="31"/>
        <v>0.66666666666666663</v>
      </c>
      <c r="R17" s="71">
        <f t="shared" si="20"/>
        <v>1</v>
      </c>
      <c r="S17" s="258" t="s">
        <v>270</v>
      </c>
      <c r="T17" s="253" t="s">
        <v>271</v>
      </c>
      <c r="U17" s="255" t="s">
        <v>272</v>
      </c>
      <c r="V17" s="230" t="s">
        <v>273</v>
      </c>
      <c r="W17" s="256" t="s">
        <v>274</v>
      </c>
      <c r="X17" s="72">
        <v>45230</v>
      </c>
      <c r="Y17" s="73"/>
      <c r="Z17" s="63"/>
      <c r="AA17" s="74"/>
      <c r="AB17" s="76"/>
      <c r="AC17" s="76">
        <f t="shared" si="21"/>
        <v>12</v>
      </c>
      <c r="AD17" s="76">
        <f t="shared" si="22"/>
        <v>11</v>
      </c>
      <c r="AE17" s="71">
        <f t="shared" si="23"/>
        <v>0.91666666666666663</v>
      </c>
      <c r="AF17" s="54">
        <f t="shared" si="14"/>
        <v>7.2300000000000003E-2</v>
      </c>
      <c r="AG17" s="77">
        <v>2.81E-2</v>
      </c>
      <c r="AH17" s="285">
        <v>0.04</v>
      </c>
      <c r="AI17" s="70">
        <v>0.11</v>
      </c>
      <c r="AJ17" s="70">
        <v>0.1111</v>
      </c>
      <c r="AK17" s="301">
        <v>38499451</v>
      </c>
      <c r="AL17" s="301">
        <v>30000000</v>
      </c>
      <c r="AM17" s="301">
        <v>52978188</v>
      </c>
      <c r="AN17" s="301">
        <v>0</v>
      </c>
      <c r="AO17" s="301">
        <v>38499451</v>
      </c>
      <c r="AP17" s="79">
        <f t="shared" si="5"/>
        <v>1</v>
      </c>
      <c r="AQ17" s="80"/>
      <c r="AR17" s="81"/>
      <c r="AS17" s="82"/>
      <c r="AT17" s="326">
        <v>0</v>
      </c>
      <c r="AU17" s="329">
        <f t="shared" si="7"/>
        <v>0</v>
      </c>
      <c r="AV17" s="311"/>
      <c r="AW17" s="311"/>
      <c r="AX17" s="311"/>
      <c r="AY17" s="311"/>
      <c r="AZ17" s="311"/>
      <c r="BA17" s="311"/>
      <c r="BB17" s="311"/>
      <c r="BC17" s="328" t="e">
        <f t="shared" si="18"/>
        <v>#DIV/0!</v>
      </c>
      <c r="BD17" s="317">
        <f>102398972+AK17</f>
        <v>140898423</v>
      </c>
      <c r="BE17" s="312">
        <f t="shared" si="24"/>
        <v>121477639</v>
      </c>
      <c r="BF17" s="328">
        <f t="shared" si="10"/>
        <v>0.8621646460869189</v>
      </c>
      <c r="BG17" s="312">
        <f t="shared" si="25"/>
        <v>0</v>
      </c>
      <c r="BH17" s="328">
        <f t="shared" si="11"/>
        <v>0</v>
      </c>
      <c r="BI17" s="85"/>
      <c r="BJ17" s="254" t="s">
        <v>67</v>
      </c>
      <c r="BK17" s="254" t="s">
        <v>87</v>
      </c>
      <c r="BL17" s="231" t="s">
        <v>225</v>
      </c>
      <c r="BM17" s="10"/>
      <c r="BN17" s="10"/>
      <c r="BO17" s="10"/>
    </row>
    <row r="18" spans="1:67" ht="41.25" customHeight="1">
      <c r="A18" s="231" t="s">
        <v>275</v>
      </c>
      <c r="B18" s="241" t="s">
        <v>276</v>
      </c>
      <c r="C18" s="86" t="s">
        <v>241</v>
      </c>
      <c r="D18" s="64">
        <v>5</v>
      </c>
      <c r="E18" s="65">
        <v>10</v>
      </c>
      <c r="F18" s="220">
        <v>10</v>
      </c>
      <c r="G18" s="222">
        <v>2</v>
      </c>
      <c r="H18" s="64">
        <v>5</v>
      </c>
      <c r="I18" s="65">
        <v>27</v>
      </c>
      <c r="J18" s="67">
        <v>10</v>
      </c>
      <c r="K18" s="235">
        <v>2</v>
      </c>
      <c r="L18" s="68"/>
      <c r="M18" s="69"/>
      <c r="N18" s="69"/>
      <c r="O18" s="70">
        <v>0.54</v>
      </c>
      <c r="P18" s="70">
        <f t="shared" ref="P18:Q18" si="32">IF((I18+M18)/E18&gt;=100%,100%,(I18+M18)/E18)</f>
        <v>1</v>
      </c>
      <c r="Q18" s="70">
        <f t="shared" si="32"/>
        <v>1</v>
      </c>
      <c r="R18" s="70">
        <f>IF(K18/G18&gt;=100%,100%,K18/G18)</f>
        <v>1</v>
      </c>
      <c r="S18" s="258" t="s">
        <v>277</v>
      </c>
      <c r="T18" s="253" t="s">
        <v>278</v>
      </c>
      <c r="U18" s="255" t="s">
        <v>279</v>
      </c>
      <c r="V18" s="230" t="s">
        <v>280</v>
      </c>
      <c r="W18" s="256" t="s">
        <v>281</v>
      </c>
      <c r="X18" s="72">
        <v>45230</v>
      </c>
      <c r="Y18" s="85"/>
      <c r="Z18" s="85"/>
      <c r="AA18" s="85"/>
      <c r="AB18" s="85"/>
      <c r="AC18" s="89">
        <v>0</v>
      </c>
      <c r="AD18" s="89">
        <v>0</v>
      </c>
      <c r="AE18" s="90">
        <v>0</v>
      </c>
      <c r="AF18" s="54">
        <f t="shared" si="14"/>
        <v>0.13527500000000001</v>
      </c>
      <c r="AG18" s="84">
        <v>0.28000000000000003</v>
      </c>
      <c r="AH18" s="284">
        <v>0.04</v>
      </c>
      <c r="AI18" s="84">
        <v>0.11</v>
      </c>
      <c r="AJ18" s="84">
        <v>0.1111</v>
      </c>
      <c r="AK18" s="301">
        <v>255189970</v>
      </c>
      <c r="AL18" s="301">
        <v>85143572</v>
      </c>
      <c r="AM18" s="301">
        <v>211063869</v>
      </c>
      <c r="AN18" s="301">
        <v>284928080</v>
      </c>
      <c r="AO18" s="301">
        <v>255189970</v>
      </c>
      <c r="AP18" s="79">
        <f t="shared" si="5"/>
        <v>1</v>
      </c>
      <c r="AQ18" s="80"/>
      <c r="AR18" s="93"/>
      <c r="AS18" s="82"/>
      <c r="AT18" s="326">
        <v>99601593</v>
      </c>
      <c r="AU18" s="329">
        <f t="shared" si="7"/>
        <v>0.39030371373921946</v>
      </c>
      <c r="AV18" s="311"/>
      <c r="AW18" s="311"/>
      <c r="AX18" s="311"/>
      <c r="AY18" s="311"/>
      <c r="AZ18" s="311"/>
      <c r="BA18" s="311"/>
      <c r="BB18" s="311"/>
      <c r="BC18" s="328" t="e">
        <f t="shared" si="18"/>
        <v>#DIV/0!</v>
      </c>
      <c r="BD18" s="317">
        <f>656420329+AK18</f>
        <v>911610299</v>
      </c>
      <c r="BE18" s="312">
        <f t="shared" si="24"/>
        <v>836325491</v>
      </c>
      <c r="BF18" s="328">
        <f t="shared" si="10"/>
        <v>0.91741557979041655</v>
      </c>
      <c r="BG18" s="312">
        <f t="shared" si="25"/>
        <v>99601593</v>
      </c>
      <c r="BH18" s="328">
        <f t="shared" si="11"/>
        <v>0.10925895978715791</v>
      </c>
      <c r="BI18" s="85"/>
      <c r="BJ18" s="254" t="s">
        <v>71</v>
      </c>
      <c r="BK18" s="254" t="s">
        <v>83</v>
      </c>
      <c r="BL18" s="231" t="s">
        <v>282</v>
      </c>
      <c r="BM18" s="14"/>
      <c r="BN18" s="14"/>
      <c r="BO18" s="14"/>
    </row>
    <row r="19" spans="1:67" ht="54.75" customHeight="1">
      <c r="A19" s="231" t="s">
        <v>283</v>
      </c>
      <c r="B19" s="241" t="s">
        <v>284</v>
      </c>
      <c r="C19" s="86" t="s">
        <v>229</v>
      </c>
      <c r="D19" s="64">
        <v>100</v>
      </c>
      <c r="E19" s="65">
        <v>100</v>
      </c>
      <c r="F19" s="220">
        <v>100</v>
      </c>
      <c r="G19" s="221">
        <v>100</v>
      </c>
      <c r="H19" s="64">
        <v>100</v>
      </c>
      <c r="I19" s="65">
        <v>100</v>
      </c>
      <c r="J19" s="67">
        <v>100</v>
      </c>
      <c r="K19" s="234">
        <v>100</v>
      </c>
      <c r="L19" s="68"/>
      <c r="M19" s="71"/>
      <c r="N19" s="71"/>
      <c r="O19" s="95">
        <f t="shared" ref="O19:P19" si="33">IF((H19+L19)/D19&gt;=100%,100%,(H19+L19)/D19)</f>
        <v>1</v>
      </c>
      <c r="P19" s="71">
        <f t="shared" si="33"/>
        <v>1</v>
      </c>
      <c r="Q19" s="71">
        <f t="shared" ref="Q19:R19" si="34">IF(J19/F19&gt;=100%,100%,J19/F19)</f>
        <v>1</v>
      </c>
      <c r="R19" s="71">
        <f t="shared" si="34"/>
        <v>1</v>
      </c>
      <c r="S19" s="258" t="s">
        <v>285</v>
      </c>
      <c r="T19" s="253" t="s">
        <v>286</v>
      </c>
      <c r="U19" s="255" t="s">
        <v>287</v>
      </c>
      <c r="V19" s="230" t="s">
        <v>288</v>
      </c>
      <c r="W19" s="256" t="s">
        <v>289</v>
      </c>
      <c r="X19" s="72">
        <v>45230</v>
      </c>
      <c r="Y19" s="73"/>
      <c r="Z19" s="63"/>
      <c r="AA19" s="74"/>
      <c r="AB19" s="96"/>
      <c r="AC19" s="76">
        <f>SUM(D19:G19)</f>
        <v>400</v>
      </c>
      <c r="AD19" s="76">
        <f>SUM(H19:N19)</f>
        <v>400</v>
      </c>
      <c r="AE19" s="71">
        <f>IF(AD19/AC19&gt;=100%,100%,AD19/AC19)</f>
        <v>1</v>
      </c>
      <c r="AF19" s="54">
        <f t="shared" si="14"/>
        <v>5.7775E-2</v>
      </c>
      <c r="AG19" s="77">
        <v>0</v>
      </c>
      <c r="AH19" s="285">
        <v>0.01</v>
      </c>
      <c r="AI19" s="70">
        <v>0.11</v>
      </c>
      <c r="AJ19" s="70">
        <v>0.1111</v>
      </c>
      <c r="AK19" s="301">
        <v>45257514</v>
      </c>
      <c r="AL19" s="301">
        <v>0</v>
      </c>
      <c r="AM19" s="301">
        <v>15243732</v>
      </c>
      <c r="AN19" s="301">
        <v>0</v>
      </c>
      <c r="AO19" s="301">
        <v>45257514</v>
      </c>
      <c r="AP19" s="79">
        <f t="shared" si="5"/>
        <v>1</v>
      </c>
      <c r="AQ19" s="80"/>
      <c r="AR19" s="81"/>
      <c r="AS19" s="82"/>
      <c r="AT19" s="326">
        <v>30074004</v>
      </c>
      <c r="AU19" s="329">
        <f t="shared" si="7"/>
        <v>0.66450852779938374</v>
      </c>
      <c r="AV19" s="311"/>
      <c r="AW19" s="311"/>
      <c r="AX19" s="311"/>
      <c r="AY19" s="311"/>
      <c r="AZ19" s="311"/>
      <c r="BA19" s="311"/>
      <c r="BB19" s="311"/>
      <c r="BC19" s="328" t="e">
        <f t="shared" si="18"/>
        <v>#DIV/0!</v>
      </c>
      <c r="BD19" s="317">
        <f>16243732+AK19</f>
        <v>61501246</v>
      </c>
      <c r="BE19" s="312">
        <f t="shared" si="24"/>
        <v>60501246</v>
      </c>
      <c r="BF19" s="328">
        <f t="shared" si="10"/>
        <v>0.98374016682523802</v>
      </c>
      <c r="BG19" s="312">
        <f t="shared" si="25"/>
        <v>30074004</v>
      </c>
      <c r="BH19" s="328">
        <f t="shared" si="11"/>
        <v>0.48899828793712569</v>
      </c>
      <c r="BI19" s="85"/>
      <c r="BJ19" s="254" t="s">
        <v>71</v>
      </c>
      <c r="BK19" s="254" t="s">
        <v>86</v>
      </c>
      <c r="BL19" s="254" t="s">
        <v>225</v>
      </c>
      <c r="BM19" s="10"/>
      <c r="BN19" s="10"/>
      <c r="BO19" s="10"/>
    </row>
    <row r="20" spans="1:67" ht="27" customHeight="1">
      <c r="A20" s="195" t="s">
        <v>290</v>
      </c>
      <c r="B20" s="53"/>
      <c r="C20" s="53"/>
      <c r="D20" s="53"/>
      <c r="E20" s="53"/>
      <c r="F20" s="53"/>
      <c r="G20" s="53"/>
      <c r="H20" s="53"/>
      <c r="I20" s="53"/>
      <c r="J20" s="53"/>
      <c r="K20" s="53"/>
      <c r="L20" s="53"/>
      <c r="M20" s="53"/>
      <c r="N20" s="53"/>
      <c r="O20" s="54">
        <f>+SUMPRODUCT(O21:O27,AG21:AG27)</f>
        <v>1.0028999999999999</v>
      </c>
      <c r="P20" s="54">
        <f>+SUMPRODUCT(P21:P27,AH21:AH27)</f>
        <v>0.99440000000000006</v>
      </c>
      <c r="Q20" s="54">
        <f>+SUMPRODUCT(Q21:Q27,AI21:AI27)</f>
        <v>0.98161543429438569</v>
      </c>
      <c r="R20" s="54">
        <f>+SUMPRODUCT(R21:R27,AJ21:AJ27)</f>
        <v>0.95110087283763289</v>
      </c>
      <c r="S20" s="259"/>
      <c r="T20" s="259"/>
      <c r="U20" s="260"/>
      <c r="V20" s="260"/>
      <c r="W20" s="260"/>
      <c r="X20" s="55"/>
      <c r="Y20" s="56"/>
      <c r="Z20" s="56"/>
      <c r="AA20" s="56"/>
      <c r="AB20" s="55"/>
      <c r="AC20" s="19"/>
      <c r="AD20" s="57"/>
      <c r="AE20" s="54">
        <f>+SUMPRODUCT(AE21:AE27,AF21:AF27)</f>
        <v>0.97230400212443113</v>
      </c>
      <c r="AF20" s="54">
        <f t="shared" si="14"/>
        <v>0.44700000000000001</v>
      </c>
      <c r="AG20" s="54">
        <v>0.28799999999999998</v>
      </c>
      <c r="AH20" s="249">
        <v>0.5</v>
      </c>
      <c r="AI20" s="54">
        <v>0.5</v>
      </c>
      <c r="AJ20" s="54">
        <v>0.5</v>
      </c>
      <c r="AK20" s="296">
        <f t="shared" ref="AK20:AO20" si="35">SUM(AK21:AK27)</f>
        <v>1704255438</v>
      </c>
      <c r="AL20" s="296">
        <f t="shared" si="35"/>
        <v>384707641</v>
      </c>
      <c r="AM20" s="296">
        <f t="shared" si="35"/>
        <v>1451983177</v>
      </c>
      <c r="AN20" s="296">
        <f t="shared" si="35"/>
        <v>1572216728</v>
      </c>
      <c r="AO20" s="296">
        <f t="shared" si="35"/>
        <v>1188513369</v>
      </c>
      <c r="AP20" s="60">
        <f t="shared" si="5"/>
        <v>0.69737983080444776</v>
      </c>
      <c r="AQ20" s="58">
        <f t="shared" ref="AQ20:AS20" si="36">SUM(AQ21:AQ27)</f>
        <v>0</v>
      </c>
      <c r="AR20" s="58">
        <f t="shared" si="36"/>
        <v>0</v>
      </c>
      <c r="AS20" s="58">
        <f t="shared" si="36"/>
        <v>0</v>
      </c>
      <c r="AT20" s="323">
        <f>+SUM(AT21:AT27)</f>
        <v>1112318176</v>
      </c>
      <c r="AU20" s="331">
        <f t="shared" si="7"/>
        <v>0.65267104402221654</v>
      </c>
      <c r="AV20" s="310">
        <f t="shared" ref="AV20:BB20" si="37">SUM(AV21:AV27)</f>
        <v>0</v>
      </c>
      <c r="AW20" s="310">
        <f t="shared" si="37"/>
        <v>0</v>
      </c>
      <c r="AX20" s="310">
        <f t="shared" si="37"/>
        <v>0</v>
      </c>
      <c r="AY20" s="310">
        <f t="shared" si="37"/>
        <v>0</v>
      </c>
      <c r="AZ20" s="310">
        <f t="shared" si="37"/>
        <v>0</v>
      </c>
      <c r="BA20" s="310">
        <f t="shared" si="37"/>
        <v>0</v>
      </c>
      <c r="BB20" s="310">
        <f t="shared" si="37"/>
        <v>0</v>
      </c>
      <c r="BC20" s="325" t="e">
        <f t="shared" si="18"/>
        <v>#DIV/0!</v>
      </c>
      <c r="BD20" s="300">
        <f t="shared" ref="BD20:BE20" si="38">SUM(BD21:BD27)</f>
        <v>5606925411</v>
      </c>
      <c r="BE20" s="300">
        <f t="shared" si="38"/>
        <v>4597420915</v>
      </c>
      <c r="BF20" s="325">
        <f t="shared" si="10"/>
        <v>0.81995399938449443</v>
      </c>
      <c r="BG20" s="300">
        <f>SUM(BG21:BG27)</f>
        <v>1112318176</v>
      </c>
      <c r="BH20" s="325">
        <f>+BG20/BD20</f>
        <v>0.19838290943157333</v>
      </c>
      <c r="BI20" s="56"/>
      <c r="BJ20" s="350" t="s">
        <v>67</v>
      </c>
      <c r="BK20" s="350" t="s">
        <v>86</v>
      </c>
      <c r="BL20" s="350" t="s">
        <v>225</v>
      </c>
      <c r="BM20" s="10"/>
      <c r="BN20" s="10"/>
      <c r="BO20" s="10"/>
    </row>
    <row r="21" spans="1:67" ht="20.100000000000001" customHeight="1">
      <c r="A21" s="231" t="s">
        <v>228</v>
      </c>
      <c r="B21" s="231"/>
      <c r="C21" s="63" t="s">
        <v>229</v>
      </c>
      <c r="D21" s="64">
        <v>0</v>
      </c>
      <c r="E21" s="65">
        <v>100</v>
      </c>
      <c r="F21" s="220">
        <v>100</v>
      </c>
      <c r="G21" s="66">
        <v>100</v>
      </c>
      <c r="H21" s="97">
        <v>0</v>
      </c>
      <c r="I21" s="65">
        <v>99</v>
      </c>
      <c r="J21" s="67">
        <v>95.6</v>
      </c>
      <c r="K21" s="233">
        <v>67.599999999999994</v>
      </c>
      <c r="L21" s="68"/>
      <c r="M21" s="69"/>
      <c r="N21" s="69"/>
      <c r="O21" s="70">
        <v>0</v>
      </c>
      <c r="P21" s="71">
        <f t="shared" ref="P21:Q21" si="39">IF((I21+M21)/E21&gt;=100%,100%,(I21+M21)/E21)</f>
        <v>0.99</v>
      </c>
      <c r="Q21" s="70">
        <f t="shared" si="39"/>
        <v>0.95599999999999996</v>
      </c>
      <c r="R21" s="71">
        <f t="shared" ref="R21:R27" si="40">IF(K21/G21&gt;=100%,100%,K21/G21)</f>
        <v>0.67599999999999993</v>
      </c>
      <c r="S21" s="261"/>
      <c r="T21" s="261"/>
      <c r="U21" s="261"/>
      <c r="V21" s="231"/>
      <c r="W21" s="231"/>
      <c r="X21" s="72">
        <v>45230</v>
      </c>
      <c r="Y21" s="73"/>
      <c r="Z21" s="98"/>
      <c r="AA21" s="74"/>
      <c r="AB21" s="99"/>
      <c r="AC21" s="76">
        <f t="shared" ref="AC21:AC27" si="41">SUM(D21:G21)</f>
        <v>300</v>
      </c>
      <c r="AD21" s="76">
        <f t="shared" ref="AD21:AD27" si="42">SUM(H21:N21)</f>
        <v>262.2</v>
      </c>
      <c r="AE21" s="71">
        <f t="shared" ref="AE21:AE27" si="43">IF(AD21/AC21&gt;=100%,100%,AD21/AC21)</f>
        <v>0.874</v>
      </c>
      <c r="AF21" s="54">
        <f t="shared" si="14"/>
        <v>0.21140000000000003</v>
      </c>
      <c r="AG21" s="77">
        <v>0</v>
      </c>
      <c r="AH21" s="289">
        <v>0.56000000000000005</v>
      </c>
      <c r="AI21" s="70">
        <v>0.14280000000000001</v>
      </c>
      <c r="AJ21" s="70">
        <v>0.14280000000000001</v>
      </c>
      <c r="AK21" s="301">
        <v>1203467000</v>
      </c>
      <c r="AL21" s="301">
        <v>0</v>
      </c>
      <c r="AM21" s="301">
        <f>782848000+90327729</f>
        <v>873175729</v>
      </c>
      <c r="AN21" s="301">
        <v>908735750</v>
      </c>
      <c r="AO21" s="301">
        <v>909088572</v>
      </c>
      <c r="AP21" s="79">
        <f t="shared" si="5"/>
        <v>0.75539135846682959</v>
      </c>
      <c r="AQ21" s="80"/>
      <c r="AR21" s="81"/>
      <c r="AS21" s="82"/>
      <c r="AT21" s="343">
        <v>907259880</v>
      </c>
      <c r="AU21" s="332">
        <f t="shared" si="7"/>
        <v>0.75387183861294083</v>
      </c>
      <c r="AV21" s="313"/>
      <c r="AW21" s="313"/>
      <c r="AX21" s="313"/>
      <c r="AY21" s="313"/>
      <c r="AZ21" s="313"/>
      <c r="BA21" s="313"/>
      <c r="BB21" s="313"/>
      <c r="BC21" s="328" t="e">
        <f t="shared" si="18"/>
        <v>#DIV/0!</v>
      </c>
      <c r="BD21" s="317">
        <f>1832015928+AK21</f>
        <v>3035482928</v>
      </c>
      <c r="BE21" s="312">
        <f t="shared" ref="BE21:BE27" si="44">+AL21+AM21+AN21+AO21</f>
        <v>2691000051</v>
      </c>
      <c r="BF21" s="328">
        <f t="shared" si="10"/>
        <v>0.88651463863545077</v>
      </c>
      <c r="BG21" s="312">
        <f t="shared" ref="BG21:BG27" si="45">SUM(AQ21:AT21)+AX21+AZ21+BB21</f>
        <v>907259880</v>
      </c>
      <c r="BH21" s="328">
        <f t="shared" si="11"/>
        <v>0.29888485671628195</v>
      </c>
      <c r="BI21" s="85"/>
      <c r="BJ21" s="254" t="s">
        <v>81</v>
      </c>
      <c r="BK21" s="254" t="s">
        <v>83</v>
      </c>
      <c r="BL21" s="231" t="s">
        <v>230</v>
      </c>
      <c r="BM21" s="10"/>
      <c r="BN21" s="10"/>
      <c r="BO21" s="10"/>
    </row>
    <row r="22" spans="1:67" ht="38.25" customHeight="1">
      <c r="A22" s="231" t="s">
        <v>291</v>
      </c>
      <c r="B22" s="241" t="s">
        <v>292</v>
      </c>
      <c r="C22" s="86" t="s">
        <v>229</v>
      </c>
      <c r="D22" s="64">
        <v>100</v>
      </c>
      <c r="E22" s="65">
        <v>100</v>
      </c>
      <c r="F22" s="220">
        <v>100</v>
      </c>
      <c r="G22" s="221">
        <v>100</v>
      </c>
      <c r="H22" s="97">
        <v>100</v>
      </c>
      <c r="I22" s="65">
        <v>100</v>
      </c>
      <c r="J22" s="67">
        <v>100</v>
      </c>
      <c r="K22" s="236">
        <v>100</v>
      </c>
      <c r="L22" s="68"/>
      <c r="M22" s="69"/>
      <c r="N22" s="69"/>
      <c r="O22" s="70">
        <v>1</v>
      </c>
      <c r="P22" s="71">
        <f t="shared" ref="P22:Q22" si="46">IF((I22+M22)/E22&gt;=100%,100%,(I22+M22)/E22)</f>
        <v>1</v>
      </c>
      <c r="Q22" s="70">
        <f t="shared" si="46"/>
        <v>1</v>
      </c>
      <c r="R22" s="71">
        <f t="shared" si="40"/>
        <v>1</v>
      </c>
      <c r="S22" s="256" t="s">
        <v>293</v>
      </c>
      <c r="T22" s="256" t="s">
        <v>294</v>
      </c>
      <c r="U22" s="256" t="s">
        <v>295</v>
      </c>
      <c r="V22" s="231" t="s">
        <v>296</v>
      </c>
      <c r="W22" s="256" t="s">
        <v>297</v>
      </c>
      <c r="X22" s="72">
        <v>45230</v>
      </c>
      <c r="Y22" s="73"/>
      <c r="Z22" s="63"/>
      <c r="AA22" s="100"/>
      <c r="AB22" s="101"/>
      <c r="AC22" s="76">
        <f t="shared" si="41"/>
        <v>400</v>
      </c>
      <c r="AD22" s="76">
        <f t="shared" si="42"/>
        <v>400</v>
      </c>
      <c r="AE22" s="71">
        <f t="shared" si="43"/>
        <v>1</v>
      </c>
      <c r="AF22" s="54">
        <f t="shared" si="14"/>
        <v>0.151925</v>
      </c>
      <c r="AG22" s="77">
        <v>0.27210000000000001</v>
      </c>
      <c r="AH22" s="285">
        <v>0.05</v>
      </c>
      <c r="AI22" s="70">
        <v>0.14280000000000001</v>
      </c>
      <c r="AJ22" s="70">
        <v>0.14280000000000001</v>
      </c>
      <c r="AK22" s="301">
        <v>90000000</v>
      </c>
      <c r="AL22" s="301">
        <v>44716805</v>
      </c>
      <c r="AM22" s="301">
        <v>58886620</v>
      </c>
      <c r="AN22" s="301">
        <v>108485713</v>
      </c>
      <c r="AO22" s="301">
        <v>0</v>
      </c>
      <c r="AP22" s="79">
        <f t="shared" si="5"/>
        <v>0</v>
      </c>
      <c r="AQ22" s="80"/>
      <c r="AR22" s="81"/>
      <c r="AS22" s="82"/>
      <c r="AT22" s="326">
        <v>0</v>
      </c>
      <c r="AU22" s="333">
        <f t="shared" si="7"/>
        <v>0</v>
      </c>
      <c r="AV22" s="314"/>
      <c r="AW22" s="313"/>
      <c r="AX22" s="313"/>
      <c r="AY22" s="313"/>
      <c r="AZ22" s="313"/>
      <c r="BA22" s="313"/>
      <c r="BB22" s="313"/>
      <c r="BC22" s="328" t="e">
        <f t="shared" si="18"/>
        <v>#DIV/0!</v>
      </c>
      <c r="BD22" s="317">
        <f>387999051+AK22</f>
        <v>477999051</v>
      </c>
      <c r="BE22" s="312">
        <f t="shared" si="44"/>
        <v>212089138</v>
      </c>
      <c r="BF22" s="328">
        <f t="shared" si="10"/>
        <v>0.4437020064292973</v>
      </c>
      <c r="BG22" s="312">
        <f t="shared" si="45"/>
        <v>0</v>
      </c>
      <c r="BH22" s="328">
        <f t="shared" si="11"/>
        <v>0</v>
      </c>
      <c r="BI22" s="85"/>
      <c r="BJ22" s="254" t="s">
        <v>67</v>
      </c>
      <c r="BK22" s="254" t="s">
        <v>88</v>
      </c>
      <c r="BL22" s="231" t="s">
        <v>225</v>
      </c>
      <c r="BM22" s="10"/>
      <c r="BN22" s="10"/>
      <c r="BO22" s="10"/>
    </row>
    <row r="23" spans="1:67" ht="27.75" customHeight="1">
      <c r="A23" s="231" t="s">
        <v>298</v>
      </c>
      <c r="B23" s="241" t="s">
        <v>299</v>
      </c>
      <c r="C23" s="86" t="s">
        <v>241</v>
      </c>
      <c r="D23" s="64">
        <v>7</v>
      </c>
      <c r="E23" s="65">
        <v>8</v>
      </c>
      <c r="F23" s="220">
        <v>9</v>
      </c>
      <c r="G23" s="221">
        <v>10</v>
      </c>
      <c r="H23" s="97">
        <v>7</v>
      </c>
      <c r="I23" s="65">
        <v>8</v>
      </c>
      <c r="J23" s="67">
        <v>9</v>
      </c>
      <c r="K23" s="236">
        <v>10</v>
      </c>
      <c r="L23" s="68"/>
      <c r="M23" s="69"/>
      <c r="N23" s="69"/>
      <c r="O23" s="70">
        <v>1</v>
      </c>
      <c r="P23" s="71">
        <f t="shared" ref="P23:Q23" si="47">IF((I23+M23)/E23&gt;=100%,100%,(I23+M23)/E23)</f>
        <v>1</v>
      </c>
      <c r="Q23" s="70">
        <f t="shared" si="47"/>
        <v>1</v>
      </c>
      <c r="R23" s="71">
        <f t="shared" si="40"/>
        <v>1</v>
      </c>
      <c r="S23" s="265" t="s">
        <v>300</v>
      </c>
      <c r="T23" s="256" t="s">
        <v>301</v>
      </c>
      <c r="U23" s="256" t="s">
        <v>302</v>
      </c>
      <c r="V23" s="231" t="s">
        <v>303</v>
      </c>
      <c r="W23" s="256" t="s">
        <v>304</v>
      </c>
      <c r="X23" s="72">
        <v>45230</v>
      </c>
      <c r="Y23" s="73"/>
      <c r="Z23" s="63"/>
      <c r="AA23" s="102"/>
      <c r="AB23" s="101"/>
      <c r="AC23" s="76">
        <f t="shared" si="41"/>
        <v>34</v>
      </c>
      <c r="AD23" s="76">
        <f t="shared" si="42"/>
        <v>34</v>
      </c>
      <c r="AE23" s="71">
        <f t="shared" si="43"/>
        <v>1</v>
      </c>
      <c r="AF23" s="54">
        <f t="shared" si="14"/>
        <v>0.18890000000000001</v>
      </c>
      <c r="AG23" s="77">
        <v>0.22</v>
      </c>
      <c r="AH23" s="285">
        <v>0.25</v>
      </c>
      <c r="AI23" s="70">
        <v>0.14280000000000001</v>
      </c>
      <c r="AJ23" s="70">
        <v>0.14280000000000001</v>
      </c>
      <c r="AK23" s="301">
        <v>150000000</v>
      </c>
      <c r="AL23" s="301">
        <v>96615706</v>
      </c>
      <c r="AM23" s="301">
        <v>312226686</v>
      </c>
      <c r="AN23" s="301">
        <v>131828437</v>
      </c>
      <c r="AO23" s="301">
        <v>149624000</v>
      </c>
      <c r="AP23" s="79">
        <f t="shared" si="5"/>
        <v>0.99749333333333334</v>
      </c>
      <c r="AQ23" s="80"/>
      <c r="AR23" s="81"/>
      <c r="AS23" s="82"/>
      <c r="AT23" s="343">
        <v>80377021</v>
      </c>
      <c r="AU23" s="327">
        <f t="shared" si="7"/>
        <v>0.53584680666666662</v>
      </c>
      <c r="AV23" s="313"/>
      <c r="AW23" s="313"/>
      <c r="AX23" s="313"/>
      <c r="AY23" s="313"/>
      <c r="AZ23" s="313"/>
      <c r="BA23" s="313"/>
      <c r="BB23" s="313"/>
      <c r="BC23" s="328" t="e">
        <f t="shared" si="18"/>
        <v>#DIV/0!</v>
      </c>
      <c r="BD23" s="317">
        <f>707791946+AK23</f>
        <v>857791946</v>
      </c>
      <c r="BE23" s="312">
        <f t="shared" si="44"/>
        <v>690294829</v>
      </c>
      <c r="BF23" s="328">
        <f t="shared" si="10"/>
        <v>0.80473456555396472</v>
      </c>
      <c r="BG23" s="312">
        <f t="shared" si="45"/>
        <v>80377021</v>
      </c>
      <c r="BH23" s="328">
        <f t="shared" si="11"/>
        <v>9.3702233245262945E-2</v>
      </c>
      <c r="BI23" s="85"/>
      <c r="BJ23" s="254" t="s">
        <v>67</v>
      </c>
      <c r="BK23" s="254" t="s">
        <v>94</v>
      </c>
      <c r="BL23" s="231" t="s">
        <v>225</v>
      </c>
      <c r="BM23" s="10"/>
      <c r="BN23" s="10"/>
      <c r="BO23" s="10"/>
    </row>
    <row r="24" spans="1:67" ht="20.100000000000001" customHeight="1">
      <c r="A24" s="231" t="s">
        <v>305</v>
      </c>
      <c r="B24" s="241" t="s">
        <v>306</v>
      </c>
      <c r="C24" s="86" t="s">
        <v>241</v>
      </c>
      <c r="D24" s="64">
        <v>1</v>
      </c>
      <c r="E24" s="65">
        <v>1</v>
      </c>
      <c r="F24" s="220">
        <v>2</v>
      </c>
      <c r="G24" s="221">
        <v>2</v>
      </c>
      <c r="H24" s="97">
        <v>1</v>
      </c>
      <c r="I24" s="65">
        <v>3</v>
      </c>
      <c r="J24" s="67">
        <v>2</v>
      </c>
      <c r="K24" s="237">
        <v>2</v>
      </c>
      <c r="L24" s="68"/>
      <c r="M24" s="69"/>
      <c r="N24" s="69"/>
      <c r="O24" s="70">
        <f t="shared" ref="O24:Q24" si="48">IF((H24+L24)/D24&gt;=100%,100%,(H24+L24)/D24)</f>
        <v>1</v>
      </c>
      <c r="P24" s="71">
        <f t="shared" si="48"/>
        <v>1</v>
      </c>
      <c r="Q24" s="70">
        <f t="shared" si="48"/>
        <v>1</v>
      </c>
      <c r="R24" s="71">
        <f t="shared" si="40"/>
        <v>1</v>
      </c>
      <c r="S24" s="256" t="s">
        <v>307</v>
      </c>
      <c r="T24" s="256" t="s">
        <v>308</v>
      </c>
      <c r="U24" s="256" t="s">
        <v>309</v>
      </c>
      <c r="V24" s="231" t="s">
        <v>310</v>
      </c>
      <c r="W24" s="256" t="s">
        <v>311</v>
      </c>
      <c r="X24" s="72">
        <v>45230</v>
      </c>
      <c r="Y24" s="73"/>
      <c r="Z24" s="63"/>
      <c r="AA24" s="102"/>
      <c r="AB24" s="103"/>
      <c r="AC24" s="76">
        <f t="shared" si="41"/>
        <v>6</v>
      </c>
      <c r="AD24" s="76">
        <f t="shared" si="42"/>
        <v>8</v>
      </c>
      <c r="AE24" s="71">
        <f t="shared" si="43"/>
        <v>1</v>
      </c>
      <c r="AF24" s="54">
        <f t="shared" si="14"/>
        <v>7.6075000000000004E-2</v>
      </c>
      <c r="AG24" s="77">
        <v>1.8700000000000001E-2</v>
      </c>
      <c r="AH24" s="285">
        <v>0</v>
      </c>
      <c r="AI24" s="70">
        <v>0.14280000000000001</v>
      </c>
      <c r="AJ24" s="70">
        <v>0.14280000000000001</v>
      </c>
      <c r="AK24" s="301">
        <v>180788438</v>
      </c>
      <c r="AL24" s="301">
        <v>20000000</v>
      </c>
      <c r="AM24" s="301">
        <v>40000000</v>
      </c>
      <c r="AN24" s="301">
        <v>0</v>
      </c>
      <c r="AO24" s="301">
        <v>49800797</v>
      </c>
      <c r="AP24" s="79">
        <f t="shared" si="5"/>
        <v>0.27546450177306142</v>
      </c>
      <c r="AQ24" s="80"/>
      <c r="AR24" s="81"/>
      <c r="AS24" s="82"/>
      <c r="AT24" s="343">
        <v>49800797</v>
      </c>
      <c r="AU24" s="329">
        <f t="shared" si="7"/>
        <v>0.27546450177306142</v>
      </c>
      <c r="AV24" s="313"/>
      <c r="AW24" s="313"/>
      <c r="AX24" s="313"/>
      <c r="AY24" s="313"/>
      <c r="AZ24" s="313"/>
      <c r="BA24" s="313"/>
      <c r="BB24" s="313"/>
      <c r="BC24" s="328" t="e">
        <f t="shared" si="18"/>
        <v>#DIV/0!</v>
      </c>
      <c r="BD24" s="317">
        <f>60000000+AK24</f>
        <v>240788438</v>
      </c>
      <c r="BE24" s="312">
        <f t="shared" si="44"/>
        <v>109800797</v>
      </c>
      <c r="BF24" s="328">
        <f t="shared" si="10"/>
        <v>0.45600527131622492</v>
      </c>
      <c r="BG24" s="312">
        <f t="shared" si="45"/>
        <v>49800797</v>
      </c>
      <c r="BH24" s="328">
        <f t="shared" si="11"/>
        <v>0.20682387166779162</v>
      </c>
      <c r="BI24" s="85"/>
      <c r="BJ24" s="254" t="s">
        <v>67</v>
      </c>
      <c r="BK24" s="254" t="s">
        <v>94</v>
      </c>
      <c r="BL24" s="231" t="s">
        <v>225</v>
      </c>
      <c r="BM24" s="10"/>
      <c r="BN24" s="10"/>
      <c r="BO24" s="10"/>
    </row>
    <row r="25" spans="1:67" ht="20.100000000000001" customHeight="1">
      <c r="A25" s="231" t="s">
        <v>312</v>
      </c>
      <c r="B25" s="241" t="s">
        <v>313</v>
      </c>
      <c r="C25" s="86" t="s">
        <v>229</v>
      </c>
      <c r="D25" s="64">
        <v>100</v>
      </c>
      <c r="E25" s="65">
        <v>100</v>
      </c>
      <c r="F25" s="220">
        <v>100</v>
      </c>
      <c r="G25" s="221">
        <v>100</v>
      </c>
      <c r="H25" s="97">
        <v>100</v>
      </c>
      <c r="I25" s="65">
        <v>100</v>
      </c>
      <c r="J25" s="67">
        <v>100</v>
      </c>
      <c r="K25" s="233">
        <v>100</v>
      </c>
      <c r="L25" s="68"/>
      <c r="M25" s="69"/>
      <c r="N25" s="69"/>
      <c r="O25" s="70">
        <v>1</v>
      </c>
      <c r="P25" s="71">
        <f t="shared" ref="P25:Q25" si="49">IF((I25+M25)/E25&gt;=100%,100%,(I25+M25)/E25)</f>
        <v>1</v>
      </c>
      <c r="Q25" s="70">
        <f t="shared" si="49"/>
        <v>1</v>
      </c>
      <c r="R25" s="71">
        <f t="shared" si="40"/>
        <v>1</v>
      </c>
      <c r="S25" s="256" t="s">
        <v>314</v>
      </c>
      <c r="T25" s="256" t="s">
        <v>315</v>
      </c>
      <c r="U25" s="256" t="s">
        <v>316</v>
      </c>
      <c r="V25" s="231" t="s">
        <v>317</v>
      </c>
      <c r="W25" s="256" t="s">
        <v>318</v>
      </c>
      <c r="X25" s="72">
        <v>45230</v>
      </c>
      <c r="Y25" s="73"/>
      <c r="Z25" s="63"/>
      <c r="AA25" s="102"/>
      <c r="AB25" s="103"/>
      <c r="AC25" s="76">
        <f t="shared" si="41"/>
        <v>400</v>
      </c>
      <c r="AD25" s="76">
        <f t="shared" si="42"/>
        <v>400</v>
      </c>
      <c r="AE25" s="71">
        <f t="shared" si="43"/>
        <v>1</v>
      </c>
      <c r="AF25" s="54">
        <f t="shared" si="14"/>
        <v>7.1400000000000005E-2</v>
      </c>
      <c r="AG25" s="77">
        <v>0</v>
      </c>
      <c r="AH25" s="285">
        <v>0</v>
      </c>
      <c r="AI25" s="70">
        <v>0.14280000000000001</v>
      </c>
      <c r="AJ25" s="70">
        <v>0.14280000000000001</v>
      </c>
      <c r="AK25" s="301">
        <v>0</v>
      </c>
      <c r="AL25" s="301">
        <v>0</v>
      </c>
      <c r="AM25" s="301">
        <v>0</v>
      </c>
      <c r="AN25" s="301">
        <v>0</v>
      </c>
      <c r="AO25" s="301">
        <v>0</v>
      </c>
      <c r="AP25" s="79">
        <v>0</v>
      </c>
      <c r="AQ25" s="80"/>
      <c r="AR25" s="81"/>
      <c r="AS25" s="82"/>
      <c r="AT25" s="344">
        <v>0</v>
      </c>
      <c r="AU25" s="329">
        <v>0</v>
      </c>
      <c r="AV25" s="313"/>
      <c r="AW25" s="313"/>
      <c r="AX25" s="313"/>
      <c r="AY25" s="313"/>
      <c r="AZ25" s="313"/>
      <c r="BA25" s="313"/>
      <c r="BB25" s="313"/>
      <c r="BC25" s="328" t="e">
        <f t="shared" si="18"/>
        <v>#DIV/0!</v>
      </c>
      <c r="BD25" s="317">
        <f>0+AK25</f>
        <v>0</v>
      </c>
      <c r="BE25" s="312">
        <f t="shared" si="44"/>
        <v>0</v>
      </c>
      <c r="BF25" s="328">
        <v>0</v>
      </c>
      <c r="BG25" s="312">
        <f t="shared" si="45"/>
        <v>0</v>
      </c>
      <c r="BH25" s="328"/>
      <c r="BI25" s="85"/>
      <c r="BJ25" s="254" t="s">
        <v>67</v>
      </c>
      <c r="BK25" s="254" t="s">
        <v>88</v>
      </c>
      <c r="BL25" s="231" t="s">
        <v>225</v>
      </c>
      <c r="BM25" s="10"/>
      <c r="BN25" s="10"/>
      <c r="BO25" s="10"/>
    </row>
    <row r="26" spans="1:67" ht="39" customHeight="1">
      <c r="A26" s="231" t="s">
        <v>319</v>
      </c>
      <c r="B26" s="241" t="s">
        <v>320</v>
      </c>
      <c r="C26" s="86" t="s">
        <v>233</v>
      </c>
      <c r="D26" s="64">
        <v>113</v>
      </c>
      <c r="E26" s="65">
        <v>252.5</v>
      </c>
      <c r="F26" s="220">
        <v>659</v>
      </c>
      <c r="G26" s="221">
        <v>659</v>
      </c>
      <c r="H26" s="97">
        <v>113</v>
      </c>
      <c r="I26" s="65">
        <v>252.5</v>
      </c>
      <c r="J26" s="67">
        <v>605</v>
      </c>
      <c r="K26" s="236">
        <v>648.70000000000005</v>
      </c>
      <c r="L26" s="68"/>
      <c r="M26" s="69"/>
      <c r="N26" s="69"/>
      <c r="O26" s="70">
        <f t="shared" ref="O26:Q26" si="50">IF((H26+L26)/D26&gt;=100%,100%,(H26+L26)/D26)</f>
        <v>1</v>
      </c>
      <c r="P26" s="71">
        <f t="shared" si="50"/>
        <v>1</v>
      </c>
      <c r="Q26" s="70">
        <f t="shared" si="50"/>
        <v>0.91805766312594839</v>
      </c>
      <c r="R26" s="71">
        <f t="shared" si="40"/>
        <v>0.98437025796661615</v>
      </c>
      <c r="S26" s="256" t="s">
        <v>321</v>
      </c>
      <c r="T26" s="256" t="s">
        <v>322</v>
      </c>
      <c r="U26" s="256" t="s">
        <v>323</v>
      </c>
      <c r="V26" s="231" t="s">
        <v>324</v>
      </c>
      <c r="W26" s="256" t="s">
        <v>325</v>
      </c>
      <c r="X26" s="72">
        <v>45230</v>
      </c>
      <c r="Y26" s="73"/>
      <c r="Z26" s="63"/>
      <c r="AA26" s="102"/>
      <c r="AB26" s="103"/>
      <c r="AC26" s="76">
        <v>659</v>
      </c>
      <c r="AD26" s="76">
        <v>649</v>
      </c>
      <c r="AE26" s="71">
        <f t="shared" si="43"/>
        <v>0.98482549317147194</v>
      </c>
      <c r="AF26" s="54">
        <f t="shared" si="14"/>
        <v>0.10442500000000002</v>
      </c>
      <c r="AG26" s="77">
        <v>1.21E-2</v>
      </c>
      <c r="AH26" s="285">
        <v>0.12</v>
      </c>
      <c r="AI26" s="70">
        <v>0.14280000000000001</v>
      </c>
      <c r="AJ26" s="70">
        <v>0.14280000000000001</v>
      </c>
      <c r="AK26" s="301">
        <v>0</v>
      </c>
      <c r="AL26" s="301">
        <v>68924754</v>
      </c>
      <c r="AM26" s="301">
        <v>149958631</v>
      </c>
      <c r="AN26" s="301">
        <v>278221334</v>
      </c>
      <c r="AO26" s="301">
        <v>0</v>
      </c>
      <c r="AP26" s="79">
        <v>0</v>
      </c>
      <c r="AQ26" s="80"/>
      <c r="AR26" s="81"/>
      <c r="AS26" s="82"/>
      <c r="AT26" s="344">
        <v>0</v>
      </c>
      <c r="AU26" s="329">
        <v>0</v>
      </c>
      <c r="AV26" s="313"/>
      <c r="AW26" s="313"/>
      <c r="AX26" s="313"/>
      <c r="AY26" s="313"/>
      <c r="AZ26" s="313"/>
      <c r="BA26" s="313"/>
      <c r="BB26" s="313"/>
      <c r="BC26" s="328" t="e">
        <f t="shared" si="18"/>
        <v>#DIV/0!</v>
      </c>
      <c r="BD26" s="317">
        <f>499212748+AK26</f>
        <v>499212748</v>
      </c>
      <c r="BE26" s="312">
        <f t="shared" si="44"/>
        <v>497104719</v>
      </c>
      <c r="BF26" s="328">
        <f t="shared" ref="BF26:BF27" si="51">+BE26/BD26</f>
        <v>0.99577729333145959</v>
      </c>
      <c r="BG26" s="312">
        <f t="shared" si="45"/>
        <v>0</v>
      </c>
      <c r="BH26" s="328">
        <f t="shared" si="11"/>
        <v>0</v>
      </c>
      <c r="BI26" s="85"/>
      <c r="BJ26" s="254" t="s">
        <v>67</v>
      </c>
      <c r="BK26" s="254" t="s">
        <v>89</v>
      </c>
      <c r="BL26" s="231" t="s">
        <v>225</v>
      </c>
      <c r="BM26" s="10"/>
      <c r="BN26" s="10"/>
      <c r="BO26" s="10"/>
    </row>
    <row r="27" spans="1:67" ht="36" customHeight="1">
      <c r="A27" s="231" t="s">
        <v>326</v>
      </c>
      <c r="B27" s="241" t="s">
        <v>327</v>
      </c>
      <c r="C27" s="86" t="s">
        <v>241</v>
      </c>
      <c r="D27" s="64">
        <v>2</v>
      </c>
      <c r="E27" s="65">
        <v>2</v>
      </c>
      <c r="F27" s="220">
        <v>2</v>
      </c>
      <c r="G27" s="222">
        <v>2</v>
      </c>
      <c r="H27" s="97">
        <v>2</v>
      </c>
      <c r="I27" s="65">
        <v>3</v>
      </c>
      <c r="J27" s="67">
        <v>4</v>
      </c>
      <c r="K27" s="236">
        <v>2</v>
      </c>
      <c r="L27" s="68"/>
      <c r="M27" s="69"/>
      <c r="N27" s="69"/>
      <c r="O27" s="70">
        <v>1</v>
      </c>
      <c r="P27" s="71">
        <f t="shared" ref="P27:Q27" si="52">IF((I27+M27)/E27&gt;=100%,100%,(I27+M27)/E27)</f>
        <v>1</v>
      </c>
      <c r="Q27" s="70">
        <f t="shared" si="52"/>
        <v>1</v>
      </c>
      <c r="R27" s="84">
        <f t="shared" si="40"/>
        <v>1</v>
      </c>
      <c r="S27" s="265" t="s">
        <v>328</v>
      </c>
      <c r="T27" s="256" t="s">
        <v>329</v>
      </c>
      <c r="U27" s="256" t="s">
        <v>330</v>
      </c>
      <c r="V27" s="231" t="s">
        <v>331</v>
      </c>
      <c r="W27" s="256" t="s">
        <v>332</v>
      </c>
      <c r="X27" s="72">
        <v>45230</v>
      </c>
      <c r="Y27" s="73"/>
      <c r="Z27" s="73"/>
      <c r="AA27" s="104"/>
      <c r="AB27" s="105"/>
      <c r="AC27" s="89">
        <f t="shared" si="41"/>
        <v>8</v>
      </c>
      <c r="AD27" s="89">
        <f t="shared" si="42"/>
        <v>11</v>
      </c>
      <c r="AE27" s="90">
        <f t="shared" si="43"/>
        <v>1</v>
      </c>
      <c r="AF27" s="54">
        <f t="shared" si="14"/>
        <v>0.19640000000000002</v>
      </c>
      <c r="AG27" s="94">
        <v>0.48</v>
      </c>
      <c r="AH27" s="284">
        <v>0.02</v>
      </c>
      <c r="AI27" s="84">
        <v>0.14280000000000001</v>
      </c>
      <c r="AJ27" s="70">
        <v>0.14280000000000001</v>
      </c>
      <c r="AK27" s="301">
        <v>80000000</v>
      </c>
      <c r="AL27" s="301">
        <v>154450376</v>
      </c>
      <c r="AM27" s="301">
        <v>17735511</v>
      </c>
      <c r="AN27" s="301">
        <v>144945494</v>
      </c>
      <c r="AO27" s="301">
        <v>80000000</v>
      </c>
      <c r="AP27" s="79">
        <f>+AO27/AK27</f>
        <v>1</v>
      </c>
      <c r="AQ27" s="80"/>
      <c r="AR27" s="93"/>
      <c r="AS27" s="82"/>
      <c r="AT27" s="343">
        <v>74880478</v>
      </c>
      <c r="AU27" s="332">
        <f>+AT27/AK27</f>
        <v>0.93600597500000005</v>
      </c>
      <c r="AV27" s="313"/>
      <c r="AW27" s="313"/>
      <c r="AX27" s="313"/>
      <c r="AY27" s="313"/>
      <c r="AZ27" s="313"/>
      <c r="BA27" s="313"/>
      <c r="BB27" s="313"/>
      <c r="BC27" s="334" t="e">
        <f t="shared" si="18"/>
        <v>#DIV/0!</v>
      </c>
      <c r="BD27" s="317">
        <f>415650300+AK27</f>
        <v>495650300</v>
      </c>
      <c r="BE27" s="312">
        <f t="shared" si="44"/>
        <v>397131381</v>
      </c>
      <c r="BF27" s="328">
        <f t="shared" si="51"/>
        <v>0.80123300843356693</v>
      </c>
      <c r="BG27" s="312">
        <f t="shared" si="45"/>
        <v>74880478</v>
      </c>
      <c r="BH27" s="328">
        <f t="shared" si="11"/>
        <v>0.15107521976683966</v>
      </c>
      <c r="BI27" s="85"/>
      <c r="BJ27" s="254" t="s">
        <v>67</v>
      </c>
      <c r="BK27" s="254" t="s">
        <v>94</v>
      </c>
      <c r="BL27" s="231" t="s">
        <v>225</v>
      </c>
      <c r="BM27" s="14"/>
      <c r="BN27" s="14"/>
      <c r="BO27" s="14"/>
    </row>
    <row r="28" spans="1:67" ht="20.100000000000001" customHeight="1">
      <c r="A28" s="31" t="s">
        <v>333</v>
      </c>
      <c r="B28" s="32"/>
      <c r="C28" s="133"/>
      <c r="D28" s="33"/>
      <c r="E28" s="34"/>
      <c r="F28" s="34"/>
      <c r="G28" s="34"/>
      <c r="H28" s="34"/>
      <c r="I28" s="34"/>
      <c r="J28" s="34"/>
      <c r="K28" s="34"/>
      <c r="L28" s="34"/>
      <c r="M28" s="34"/>
      <c r="N28" s="34"/>
      <c r="O28" s="36"/>
      <c r="P28" s="36"/>
      <c r="Q28" s="36"/>
      <c r="R28" s="35">
        <f>+R29</f>
        <v>0.83018802430926208</v>
      </c>
      <c r="S28" s="262"/>
      <c r="T28" s="262"/>
      <c r="U28" s="262"/>
      <c r="V28" s="262"/>
      <c r="W28" s="262"/>
      <c r="X28" s="36"/>
      <c r="Y28" s="36"/>
      <c r="Z28" s="36"/>
      <c r="AA28" s="36"/>
      <c r="AB28" s="36"/>
      <c r="AC28" s="37"/>
      <c r="AD28" s="37"/>
      <c r="AE28" s="35"/>
      <c r="AF28" s="35"/>
      <c r="AG28" s="35"/>
      <c r="AH28" s="286"/>
      <c r="AI28" s="35"/>
      <c r="AJ28" s="35"/>
      <c r="AK28" s="302"/>
      <c r="AL28" s="302"/>
      <c r="AM28" s="302"/>
      <c r="AN28" s="302"/>
      <c r="AO28" s="302"/>
      <c r="AP28" s="38"/>
      <c r="AQ28" s="39"/>
      <c r="AR28" s="39"/>
      <c r="AS28" s="39"/>
      <c r="AT28" s="335"/>
      <c r="AU28" s="336"/>
      <c r="AV28" s="315"/>
      <c r="AW28" s="316"/>
      <c r="AX28" s="316"/>
      <c r="AY28" s="316"/>
      <c r="AZ28" s="316"/>
      <c r="BA28" s="316"/>
      <c r="BB28" s="316"/>
      <c r="BC28" s="337"/>
      <c r="BD28" s="298"/>
      <c r="BE28" s="298"/>
      <c r="BF28" s="338"/>
      <c r="BG28" s="298"/>
      <c r="BH28" s="338"/>
      <c r="BI28" s="33"/>
      <c r="BJ28" s="348"/>
      <c r="BK28" s="348"/>
      <c r="BL28" s="348"/>
      <c r="BM28" s="10"/>
      <c r="BN28" s="10"/>
      <c r="BO28" s="10"/>
    </row>
    <row r="29" spans="1:67" ht="45" customHeight="1">
      <c r="A29" s="42" t="s">
        <v>334</v>
      </c>
      <c r="B29" s="43"/>
      <c r="C29" s="44"/>
      <c r="D29" s="49"/>
      <c r="E29" s="46"/>
      <c r="F29" s="46"/>
      <c r="G29" s="223"/>
      <c r="H29" s="46"/>
      <c r="I29" s="46"/>
      <c r="J29" s="46"/>
      <c r="K29" s="46"/>
      <c r="L29" s="46"/>
      <c r="M29" s="46"/>
      <c r="N29" s="46"/>
      <c r="O29" s="47">
        <f>+(O31*AG31)+(O40*AG40)+(O46*AG46)+(O54*AG54)</f>
        <v>1.2465470799999998</v>
      </c>
      <c r="P29" s="47">
        <f>+(P31*AH31)+(P40*AH40)+(P46*AH46)+(P54*AH54)</f>
        <v>0.93326249999999999</v>
      </c>
      <c r="Q29" s="47">
        <f>+(Q31*AI31)+(Q40*AI40)+(Q46*AI46)+(Q54*AI54)</f>
        <v>0.87036904999999998</v>
      </c>
      <c r="R29" s="47">
        <f>+(R31*AJ31)+(R40*AJ40)+(R46*AJ46)+(R54*AJ54)</f>
        <v>0.83018802430926208</v>
      </c>
      <c r="S29" s="263"/>
      <c r="T29" s="263"/>
      <c r="U29" s="263"/>
      <c r="V29" s="263"/>
      <c r="W29" s="263"/>
      <c r="X29" s="106"/>
      <c r="Y29" s="107"/>
      <c r="Z29" s="107"/>
      <c r="AA29" s="107"/>
      <c r="AB29" s="49"/>
      <c r="AC29" s="108"/>
      <c r="AD29" s="108"/>
      <c r="AE29" s="47">
        <f>+AE30</f>
        <v>0.83217362288245722</v>
      </c>
      <c r="AF29" s="47"/>
      <c r="AG29" s="47"/>
      <c r="AH29" s="248"/>
      <c r="AI29" s="47"/>
      <c r="AJ29" s="47"/>
      <c r="AK29" s="303">
        <f t="shared" ref="AK29:AO29" si="53">+AK31+AK40+AK46+AK54</f>
        <v>9606782207</v>
      </c>
      <c r="AL29" s="303">
        <f t="shared" si="53"/>
        <v>1327898160</v>
      </c>
      <c r="AM29" s="303">
        <f t="shared" si="53"/>
        <v>6537924449</v>
      </c>
      <c r="AN29" s="303">
        <f t="shared" si="53"/>
        <v>7529454359</v>
      </c>
      <c r="AO29" s="303">
        <f t="shared" si="53"/>
        <v>7514254942</v>
      </c>
      <c r="AP29" s="50">
        <f t="shared" ref="AP29:AP43" si="54">+AO29/AK29</f>
        <v>0.78218229372627224</v>
      </c>
      <c r="AQ29" s="51">
        <f t="shared" ref="AQ29:AS29" si="55">+AQ31+AQ35</f>
        <v>0</v>
      </c>
      <c r="AR29" s="51">
        <f t="shared" si="55"/>
        <v>0</v>
      </c>
      <c r="AS29" s="51">
        <f t="shared" si="55"/>
        <v>0</v>
      </c>
      <c r="AT29" s="319">
        <f>+AT30</f>
        <v>5348685122</v>
      </c>
      <c r="AU29" s="320">
        <f t="shared" ref="AU29:AU43" si="56">+AT29/AK29</f>
        <v>0.55676135950106898</v>
      </c>
      <c r="AV29" s="307">
        <f t="shared" ref="AV29:BB29" si="57">+AV31+AV35</f>
        <v>0</v>
      </c>
      <c r="AW29" s="308">
        <f t="shared" si="57"/>
        <v>0</v>
      </c>
      <c r="AX29" s="308">
        <f t="shared" si="57"/>
        <v>0</v>
      </c>
      <c r="AY29" s="308">
        <f t="shared" si="57"/>
        <v>0</v>
      </c>
      <c r="AZ29" s="308">
        <f t="shared" si="57"/>
        <v>0</v>
      </c>
      <c r="BA29" s="308">
        <f t="shared" si="57"/>
        <v>0</v>
      </c>
      <c r="BB29" s="308">
        <f t="shared" si="57"/>
        <v>0</v>
      </c>
      <c r="BC29" s="322" t="e">
        <f>+BB29/BA29</f>
        <v>#DIV/0!</v>
      </c>
      <c r="BD29" s="299">
        <f t="shared" ref="BD29:BE29" si="58">+BD31+BD40+BD46+BD54</f>
        <v>27311638071</v>
      </c>
      <c r="BE29" s="299">
        <f t="shared" si="58"/>
        <v>22909531910</v>
      </c>
      <c r="BF29" s="322">
        <f t="shared" ref="BF29:BF44" si="59">+BE29/BD29</f>
        <v>0.83881940184048365</v>
      </c>
      <c r="BG29" s="299">
        <f>+BG31+BG40+BG46+BG54</f>
        <v>5348685122</v>
      </c>
      <c r="BH29" s="322">
        <f t="shared" ref="BH29:BH63" si="60">+BG29/BD29</f>
        <v>0.19583904517537279</v>
      </c>
      <c r="BI29" s="49"/>
      <c r="BJ29" s="349" t="s">
        <v>65</v>
      </c>
      <c r="BK29" s="349" t="s">
        <v>92</v>
      </c>
      <c r="BL29" s="349" t="s">
        <v>335</v>
      </c>
      <c r="BM29" s="109"/>
      <c r="BN29" s="109"/>
      <c r="BO29" s="109"/>
    </row>
    <row r="30" spans="1:67" ht="29.25" customHeight="1">
      <c r="A30" s="52" t="s">
        <v>336</v>
      </c>
      <c r="B30" s="43"/>
      <c r="C30" s="44"/>
      <c r="D30" s="49"/>
      <c r="E30" s="46"/>
      <c r="F30" s="46"/>
      <c r="G30" s="46"/>
      <c r="H30" s="46"/>
      <c r="I30" s="46"/>
      <c r="J30" s="46"/>
      <c r="K30" s="46"/>
      <c r="L30" s="46"/>
      <c r="M30" s="46"/>
      <c r="N30" s="46"/>
      <c r="O30" s="47">
        <f>+(O31*AG31)+(O40*AG40)+(O46*AG46)+(O54*AG54)</f>
        <v>1.2465470799999998</v>
      </c>
      <c r="P30" s="47">
        <f>+(P31*AH31)+(P40*AH40)+(P46*AH46)+(P54*AH54)</f>
        <v>0.93326249999999999</v>
      </c>
      <c r="Q30" s="47">
        <f>+(Q31*AI31)+(Q40*AI40)+(Q46*AI46)+(Q54*AI54)</f>
        <v>0.87036904999999998</v>
      </c>
      <c r="R30" s="47">
        <f>+(R31*AJ31)+(R40*AJ40)+(R46*AJ46)+(R54*AJ54)</f>
        <v>0.83018802430926208</v>
      </c>
      <c r="S30" s="263"/>
      <c r="T30" s="263"/>
      <c r="U30" s="263"/>
      <c r="V30" s="263"/>
      <c r="W30" s="263"/>
      <c r="X30" s="106"/>
      <c r="Y30" s="107"/>
      <c r="Z30" s="107"/>
      <c r="AA30" s="107"/>
      <c r="AB30" s="49"/>
      <c r="AC30" s="108"/>
      <c r="AD30" s="108"/>
      <c r="AE30" s="47">
        <f>+(AE31*AF31)+(AE40*AF40)+(AE46*AF46)+(AE54*AF54)</f>
        <v>0.83217362288245722</v>
      </c>
      <c r="AF30" s="47"/>
      <c r="AG30" s="47"/>
      <c r="AH30" s="248"/>
      <c r="AI30" s="47"/>
      <c r="AJ30" s="47"/>
      <c r="AK30" s="303">
        <f t="shared" ref="AK30:AO30" si="61">+AK31+AK40+AK46+AK54</f>
        <v>9606782207</v>
      </c>
      <c r="AL30" s="303">
        <f t="shared" si="61"/>
        <v>1327898160</v>
      </c>
      <c r="AM30" s="303">
        <f t="shared" si="61"/>
        <v>6537924449</v>
      </c>
      <c r="AN30" s="303">
        <f t="shared" si="61"/>
        <v>7529454359</v>
      </c>
      <c r="AO30" s="303">
        <f t="shared" si="61"/>
        <v>7514254942</v>
      </c>
      <c r="AP30" s="50">
        <f t="shared" si="54"/>
        <v>0.78218229372627224</v>
      </c>
      <c r="AQ30" s="51"/>
      <c r="AR30" s="51"/>
      <c r="AS30" s="51"/>
      <c r="AT30" s="319">
        <f>+AT31+AT40+AT46+AT54</f>
        <v>5348685122</v>
      </c>
      <c r="AU30" s="320">
        <f t="shared" si="56"/>
        <v>0.55676135950106898</v>
      </c>
      <c r="AV30" s="307"/>
      <c r="AW30" s="308"/>
      <c r="AX30" s="308"/>
      <c r="AY30" s="308"/>
      <c r="AZ30" s="308"/>
      <c r="BA30" s="308"/>
      <c r="BB30" s="308"/>
      <c r="BC30" s="322"/>
      <c r="BD30" s="299">
        <f t="shared" ref="BD30:BE30" si="62">+BD31+BD40+BD46+BD54</f>
        <v>27311638071</v>
      </c>
      <c r="BE30" s="299">
        <f t="shared" si="62"/>
        <v>22909531910</v>
      </c>
      <c r="BF30" s="322">
        <f t="shared" si="59"/>
        <v>0.83881940184048365</v>
      </c>
      <c r="BG30" s="299">
        <f>+BG31+BG40+BG46+BG54</f>
        <v>5348685122</v>
      </c>
      <c r="BH30" s="322">
        <f t="shared" si="60"/>
        <v>0.19583904517537279</v>
      </c>
      <c r="BI30" s="49"/>
      <c r="BJ30" s="349" t="s">
        <v>65</v>
      </c>
      <c r="BK30" s="349" t="s">
        <v>92</v>
      </c>
      <c r="BL30" s="349" t="s">
        <v>335</v>
      </c>
      <c r="BM30" s="109"/>
      <c r="BN30" s="109"/>
      <c r="BO30" s="109"/>
    </row>
    <row r="31" spans="1:67" ht="29.25" customHeight="1">
      <c r="A31" s="196" t="s">
        <v>337</v>
      </c>
      <c r="B31" s="54"/>
      <c r="C31" s="54"/>
      <c r="D31" s="54"/>
      <c r="E31" s="54"/>
      <c r="F31" s="54"/>
      <c r="G31" s="54"/>
      <c r="H31" s="54"/>
      <c r="I31" s="54"/>
      <c r="J31" s="54"/>
      <c r="K31" s="54"/>
      <c r="L31" s="54"/>
      <c r="M31" s="54"/>
      <c r="N31" s="54"/>
      <c r="O31" s="54">
        <f>+SUMPRODUCT(O32:O39,AG32:AG39)</f>
        <v>0.99809999999999999</v>
      </c>
      <c r="P31" s="54">
        <f>+SUMPRODUCT(P32:P39,AH32:AH39)</f>
        <v>0.92255000000000009</v>
      </c>
      <c r="Q31" s="54">
        <f>+SUMPRODUCT(Q32:Q39,AI32:AI39)</f>
        <v>0.88605</v>
      </c>
      <c r="R31" s="54">
        <f>+SUMPRODUCT(R32:R39,AJ32:AJ39)</f>
        <v>0.96677499999999994</v>
      </c>
      <c r="S31" s="264"/>
      <c r="T31" s="264"/>
      <c r="U31" s="264"/>
      <c r="V31" s="264"/>
      <c r="W31" s="264"/>
      <c r="X31" s="110"/>
      <c r="Y31" s="111"/>
      <c r="Z31" s="111"/>
      <c r="AA31" s="111"/>
      <c r="AB31" s="61"/>
      <c r="AC31" s="57"/>
      <c r="AD31" s="57"/>
      <c r="AE31" s="54">
        <f>+SUMPRODUCT(AE32:AE39,AF32:AF39)</f>
        <v>0.88934455990028471</v>
      </c>
      <c r="AF31" s="54">
        <f t="shared" ref="AF31:AF63" si="63">SUM(AG31:AJ31)/4</f>
        <v>0.25950000000000001</v>
      </c>
      <c r="AG31" s="54">
        <v>0.28799999999999998</v>
      </c>
      <c r="AH31" s="249">
        <v>0.25</v>
      </c>
      <c r="AI31" s="54">
        <v>0.25</v>
      </c>
      <c r="AJ31" s="54">
        <v>0.25</v>
      </c>
      <c r="AK31" s="296">
        <f t="shared" ref="AK31:AO31" si="64">SUM(AK32:AK39)</f>
        <v>2051630924</v>
      </c>
      <c r="AL31" s="296">
        <f t="shared" si="64"/>
        <v>368340794</v>
      </c>
      <c r="AM31" s="296">
        <f t="shared" si="64"/>
        <v>1038574124</v>
      </c>
      <c r="AN31" s="296">
        <f t="shared" si="64"/>
        <v>1611829027</v>
      </c>
      <c r="AO31" s="296">
        <f t="shared" si="64"/>
        <v>1492883089</v>
      </c>
      <c r="AP31" s="60">
        <f t="shared" si="54"/>
        <v>0.72765674933841074</v>
      </c>
      <c r="AQ31" s="58">
        <f t="shared" ref="AQ31:AS31" si="65">SUM(AQ32:AQ34)</f>
        <v>0</v>
      </c>
      <c r="AR31" s="58">
        <f t="shared" si="65"/>
        <v>0</v>
      </c>
      <c r="AS31" s="58">
        <f t="shared" si="65"/>
        <v>0</v>
      </c>
      <c r="AT31" s="323">
        <f>+SUM(AT32:AT39)</f>
        <v>930893009</v>
      </c>
      <c r="AU31" s="324">
        <f t="shared" si="56"/>
        <v>0.45373317301391974</v>
      </c>
      <c r="AV31" s="309">
        <f t="shared" ref="AV31:BB31" si="66">SUM(AV32:AV34)</f>
        <v>0</v>
      </c>
      <c r="AW31" s="310">
        <f t="shared" si="66"/>
        <v>0</v>
      </c>
      <c r="AX31" s="310">
        <f t="shared" si="66"/>
        <v>0</v>
      </c>
      <c r="AY31" s="310">
        <f t="shared" si="66"/>
        <v>0</v>
      </c>
      <c r="AZ31" s="310">
        <f t="shared" si="66"/>
        <v>0</v>
      </c>
      <c r="BA31" s="310">
        <f t="shared" si="66"/>
        <v>0</v>
      </c>
      <c r="BB31" s="310">
        <f t="shared" si="66"/>
        <v>0</v>
      </c>
      <c r="BC31" s="325" t="e">
        <f t="shared" ref="BC31:BC38" si="67">+BB31/BA31</f>
        <v>#DIV/0!</v>
      </c>
      <c r="BD31" s="300">
        <f t="shared" ref="BD31:BE31" si="68">SUM(BD32:BD39)</f>
        <v>5764124466</v>
      </c>
      <c r="BE31" s="300">
        <f t="shared" si="68"/>
        <v>4511627034</v>
      </c>
      <c r="BF31" s="325">
        <f t="shared" si="59"/>
        <v>0.78270812169516402</v>
      </c>
      <c r="BG31" s="300">
        <f>SUM(BG32:BG39)</f>
        <v>930893009</v>
      </c>
      <c r="BH31" s="325">
        <f t="shared" si="60"/>
        <v>0.16149772866476475</v>
      </c>
      <c r="BI31" s="56"/>
      <c r="BJ31" s="350" t="s">
        <v>65</v>
      </c>
      <c r="BK31" s="350" t="s">
        <v>92</v>
      </c>
      <c r="BL31" s="350" t="s">
        <v>335</v>
      </c>
      <c r="BM31" s="10"/>
      <c r="BN31" s="10"/>
      <c r="BO31" s="10"/>
    </row>
    <row r="32" spans="1:67" ht="33.75" customHeight="1">
      <c r="A32" s="231" t="s">
        <v>228</v>
      </c>
      <c r="B32" s="231"/>
      <c r="C32" s="241" t="s">
        <v>229</v>
      </c>
      <c r="D32" s="64">
        <v>0</v>
      </c>
      <c r="E32" s="65">
        <v>100</v>
      </c>
      <c r="F32" s="220">
        <v>100</v>
      </c>
      <c r="G32" s="66">
        <v>100</v>
      </c>
      <c r="H32" s="64">
        <v>0</v>
      </c>
      <c r="I32" s="65">
        <v>95</v>
      </c>
      <c r="J32" s="67">
        <v>95</v>
      </c>
      <c r="K32" s="233">
        <v>73.42</v>
      </c>
      <c r="L32" s="68"/>
      <c r="M32" s="69"/>
      <c r="N32" s="69"/>
      <c r="O32" s="70">
        <v>0</v>
      </c>
      <c r="P32" s="71">
        <f t="shared" ref="P32:Q32" si="69">IF((I32+M32)/E32&gt;=100%,100%,(I32+M32)/E32)</f>
        <v>0.95</v>
      </c>
      <c r="Q32" s="71">
        <f t="shared" si="69"/>
        <v>0.95</v>
      </c>
      <c r="R32" s="71">
        <f t="shared" ref="R32:R35" si="70">IF(K32/G32&gt;=100%,100%,K32/G32)</f>
        <v>0.73419999999999996</v>
      </c>
      <c r="S32" s="261"/>
      <c r="T32" s="261"/>
      <c r="U32" s="261"/>
      <c r="V32" s="231"/>
      <c r="W32" s="231"/>
      <c r="X32" s="72">
        <v>45230</v>
      </c>
      <c r="Y32" s="73"/>
      <c r="Z32" s="63"/>
      <c r="AA32" s="74"/>
      <c r="AB32" s="10"/>
      <c r="AC32" s="76">
        <f t="shared" ref="AC32:AC39" si="71">SUM(D32:G32)</f>
        <v>300</v>
      </c>
      <c r="AD32" s="76">
        <f t="shared" ref="AD32:AD39" si="72">SUM(H32:N32)</f>
        <v>263.42</v>
      </c>
      <c r="AE32" s="71">
        <f t="shared" ref="AE32:AE34" si="73">IF(AD32/AC32&gt;=100%,100%,AD32/AC32)</f>
        <v>0.87806666666666677</v>
      </c>
      <c r="AF32" s="54">
        <f t="shared" si="63"/>
        <v>0.13475000000000001</v>
      </c>
      <c r="AG32" s="77">
        <v>0</v>
      </c>
      <c r="AH32" s="289">
        <v>0.28000000000000003</v>
      </c>
      <c r="AI32" s="70">
        <v>0.13400000000000001</v>
      </c>
      <c r="AJ32" s="70">
        <v>0.125</v>
      </c>
      <c r="AK32" s="301">
        <v>539301000</v>
      </c>
      <c r="AL32" s="301">
        <v>0</v>
      </c>
      <c r="AM32" s="301">
        <f>362653368+27874467</f>
        <v>390527835</v>
      </c>
      <c r="AN32" s="301">
        <v>441042456</v>
      </c>
      <c r="AO32" s="301">
        <v>395958659</v>
      </c>
      <c r="AP32" s="79">
        <f t="shared" si="54"/>
        <v>0.73420716631343164</v>
      </c>
      <c r="AQ32" s="80"/>
      <c r="AR32" s="81"/>
      <c r="AS32" s="82"/>
      <c r="AT32" s="343">
        <v>394329097</v>
      </c>
      <c r="AU32" s="327">
        <f t="shared" si="56"/>
        <v>0.73118554758845244</v>
      </c>
      <c r="AV32" s="313"/>
      <c r="AW32" s="313"/>
      <c r="AX32" s="313"/>
      <c r="AY32" s="313"/>
      <c r="AZ32" s="313"/>
      <c r="BA32" s="313"/>
      <c r="BB32" s="313"/>
      <c r="BC32" s="328" t="e">
        <f t="shared" si="67"/>
        <v>#DIV/0!</v>
      </c>
      <c r="BD32" s="317">
        <f>872498000+AK32</f>
        <v>1411799000</v>
      </c>
      <c r="BE32" s="312">
        <f t="shared" ref="BE32:BE39" si="74">+AL32+AM32+AN32+AO32</f>
        <v>1227528950</v>
      </c>
      <c r="BF32" s="328">
        <f t="shared" si="59"/>
        <v>0.86947855183351175</v>
      </c>
      <c r="BG32" s="312">
        <f t="shared" ref="BG32:BG39" si="75">SUM(AQ32:AT32)+AX32+AZ32+BB32</f>
        <v>394329097</v>
      </c>
      <c r="BH32" s="328">
        <f t="shared" si="60"/>
        <v>0.27930965881120473</v>
      </c>
      <c r="BI32" s="85"/>
      <c r="BJ32" s="254" t="s">
        <v>81</v>
      </c>
      <c r="BK32" s="254" t="s">
        <v>83</v>
      </c>
      <c r="BL32" s="231" t="s">
        <v>230</v>
      </c>
      <c r="BM32" s="10"/>
      <c r="BN32" s="10"/>
      <c r="BO32" s="10"/>
    </row>
    <row r="33" spans="1:67" ht="20.100000000000001" customHeight="1">
      <c r="A33" s="231" t="s">
        <v>338</v>
      </c>
      <c r="B33" s="241" t="s">
        <v>338</v>
      </c>
      <c r="C33" s="241" t="s">
        <v>241</v>
      </c>
      <c r="D33" s="64">
        <v>2</v>
      </c>
      <c r="E33" s="65">
        <v>4</v>
      </c>
      <c r="F33" s="220">
        <v>6</v>
      </c>
      <c r="G33" s="221">
        <v>8</v>
      </c>
      <c r="H33" s="64">
        <v>2</v>
      </c>
      <c r="I33" s="65">
        <v>4</v>
      </c>
      <c r="J33" s="67">
        <v>5</v>
      </c>
      <c r="K33" s="236">
        <v>8</v>
      </c>
      <c r="L33" s="68"/>
      <c r="M33" s="84"/>
      <c r="N33" s="84"/>
      <c r="O33" s="70">
        <v>1</v>
      </c>
      <c r="P33" s="71">
        <f t="shared" ref="P33:Q33" si="76">IF((I33+M33)/E33&gt;=100%,100%,(I33+M33)/E33)</f>
        <v>1</v>
      </c>
      <c r="Q33" s="71">
        <f t="shared" si="76"/>
        <v>0.83333333333333337</v>
      </c>
      <c r="R33" s="71">
        <f t="shared" si="70"/>
        <v>1</v>
      </c>
      <c r="S33" s="256" t="s">
        <v>339</v>
      </c>
      <c r="T33" s="256" t="s">
        <v>340</v>
      </c>
      <c r="U33" s="256" t="s">
        <v>341</v>
      </c>
      <c r="V33" s="231" t="s">
        <v>342</v>
      </c>
      <c r="W33" s="256" t="s">
        <v>343</v>
      </c>
      <c r="X33" s="72">
        <v>45230</v>
      </c>
      <c r="Y33" s="73"/>
      <c r="Z33" s="63"/>
      <c r="AA33" s="74"/>
      <c r="AB33" s="75"/>
      <c r="AC33" s="76">
        <f t="shared" si="71"/>
        <v>20</v>
      </c>
      <c r="AD33" s="76">
        <f t="shared" si="72"/>
        <v>19</v>
      </c>
      <c r="AE33" s="71">
        <f t="shared" si="73"/>
        <v>0.95</v>
      </c>
      <c r="AF33" s="54">
        <f t="shared" si="63"/>
        <v>0.33124999999999993</v>
      </c>
      <c r="AG33" s="77">
        <v>0.56999999999999995</v>
      </c>
      <c r="AH33" s="285">
        <v>0.5</v>
      </c>
      <c r="AI33" s="70">
        <v>0.13</v>
      </c>
      <c r="AJ33" s="70">
        <v>0.125</v>
      </c>
      <c r="AK33" s="301">
        <v>672221728</v>
      </c>
      <c r="AL33" s="301">
        <v>166118575</v>
      </c>
      <c r="AM33" s="301">
        <v>435828007</v>
      </c>
      <c r="AN33" s="301">
        <v>577542534</v>
      </c>
      <c r="AO33" s="301">
        <v>559350215</v>
      </c>
      <c r="AP33" s="79">
        <f t="shared" si="54"/>
        <v>0.83209184068504249</v>
      </c>
      <c r="AQ33" s="80"/>
      <c r="AR33" s="81"/>
      <c r="AS33" s="82"/>
      <c r="AT33" s="343">
        <v>196546694</v>
      </c>
      <c r="AU33" s="329">
        <f t="shared" si="56"/>
        <v>0.29238372669798618</v>
      </c>
      <c r="AV33" s="313"/>
      <c r="AW33" s="313"/>
      <c r="AX33" s="313"/>
      <c r="AY33" s="313"/>
      <c r="AZ33" s="313"/>
      <c r="BA33" s="313"/>
      <c r="BB33" s="313"/>
      <c r="BC33" s="328" t="e">
        <f t="shared" si="67"/>
        <v>#DIV/0!</v>
      </c>
      <c r="BD33" s="317">
        <f>1585619362+AK33</f>
        <v>2257841090</v>
      </c>
      <c r="BE33" s="312">
        <f t="shared" si="74"/>
        <v>1738839331</v>
      </c>
      <c r="BF33" s="328">
        <f t="shared" si="59"/>
        <v>0.77013361954538617</v>
      </c>
      <c r="BG33" s="312">
        <f t="shared" si="75"/>
        <v>196546694</v>
      </c>
      <c r="BH33" s="328">
        <f t="shared" si="60"/>
        <v>8.7050720651026856E-2</v>
      </c>
      <c r="BI33" s="85"/>
      <c r="BJ33" s="254" t="s">
        <v>65</v>
      </c>
      <c r="BK33" s="254" t="s">
        <v>92</v>
      </c>
      <c r="BL33" s="231" t="s">
        <v>335</v>
      </c>
      <c r="BM33" s="10"/>
      <c r="BN33" s="10"/>
      <c r="BO33" s="10"/>
    </row>
    <row r="34" spans="1:67" ht="20.100000000000001" customHeight="1">
      <c r="A34" s="231" t="s">
        <v>344</v>
      </c>
      <c r="B34" s="241" t="s">
        <v>345</v>
      </c>
      <c r="C34" s="241" t="s">
        <v>241</v>
      </c>
      <c r="D34" s="64">
        <v>3</v>
      </c>
      <c r="E34" s="65">
        <v>3</v>
      </c>
      <c r="F34" s="220">
        <v>3</v>
      </c>
      <c r="G34" s="221">
        <v>3</v>
      </c>
      <c r="H34" s="64">
        <v>3</v>
      </c>
      <c r="I34" s="65">
        <v>3</v>
      </c>
      <c r="J34" s="67">
        <v>3</v>
      </c>
      <c r="K34" s="236">
        <v>3</v>
      </c>
      <c r="L34" s="68"/>
      <c r="M34" s="69"/>
      <c r="N34" s="69"/>
      <c r="O34" s="70">
        <v>1</v>
      </c>
      <c r="P34" s="71">
        <f t="shared" ref="P34:Q34" si="77">IF((I34+M34)/E34&gt;=100%,100%,(I34+M34)/E34)</f>
        <v>1</v>
      </c>
      <c r="Q34" s="71">
        <f t="shared" si="77"/>
        <v>1</v>
      </c>
      <c r="R34" s="71">
        <f t="shared" si="70"/>
        <v>1</v>
      </c>
      <c r="S34" s="256" t="s">
        <v>346</v>
      </c>
      <c r="T34" s="256" t="s">
        <v>347</v>
      </c>
      <c r="U34" s="256" t="s">
        <v>348</v>
      </c>
      <c r="V34" s="231" t="s">
        <v>349</v>
      </c>
      <c r="W34" s="256" t="s">
        <v>350</v>
      </c>
      <c r="X34" s="72">
        <v>45230</v>
      </c>
      <c r="Y34" s="73"/>
      <c r="Z34" s="63"/>
      <c r="AA34" s="74"/>
      <c r="AB34" s="75"/>
      <c r="AC34" s="76">
        <f t="shared" si="71"/>
        <v>12</v>
      </c>
      <c r="AD34" s="76">
        <f t="shared" si="72"/>
        <v>12</v>
      </c>
      <c r="AE34" s="71">
        <f t="shared" si="73"/>
        <v>1</v>
      </c>
      <c r="AF34" s="54">
        <f t="shared" si="63"/>
        <v>7.0000000000000007E-2</v>
      </c>
      <c r="AG34" s="77">
        <v>0.03</v>
      </c>
      <c r="AH34" s="285">
        <v>0</v>
      </c>
      <c r="AI34" s="70">
        <v>0.125</v>
      </c>
      <c r="AJ34" s="70">
        <v>0.125</v>
      </c>
      <c r="AK34" s="301">
        <v>240374450</v>
      </c>
      <c r="AL34" s="301">
        <v>10000000</v>
      </c>
      <c r="AM34" s="301">
        <v>0</v>
      </c>
      <c r="AN34" s="301">
        <v>30000000</v>
      </c>
      <c r="AO34" s="301">
        <v>20294450</v>
      </c>
      <c r="AP34" s="79">
        <f t="shared" si="54"/>
        <v>8.4428482311659989E-2</v>
      </c>
      <c r="AQ34" s="80"/>
      <c r="AR34" s="81"/>
      <c r="AS34" s="82"/>
      <c r="AT34" s="343">
        <v>20213595</v>
      </c>
      <c r="AU34" s="329">
        <f t="shared" si="56"/>
        <v>8.4092111287202106E-2</v>
      </c>
      <c r="AV34" s="313"/>
      <c r="AW34" s="313"/>
      <c r="AX34" s="313"/>
      <c r="AY34" s="313"/>
      <c r="AZ34" s="313"/>
      <c r="BA34" s="313"/>
      <c r="BB34" s="313"/>
      <c r="BC34" s="328" t="e">
        <f t="shared" si="67"/>
        <v>#DIV/0!</v>
      </c>
      <c r="BD34" s="317">
        <f>40000000+AK34</f>
        <v>280374450</v>
      </c>
      <c r="BE34" s="312">
        <f t="shared" si="74"/>
        <v>60294450</v>
      </c>
      <c r="BF34" s="328">
        <f t="shared" si="59"/>
        <v>0.21504973081534356</v>
      </c>
      <c r="BG34" s="312">
        <f t="shared" si="75"/>
        <v>20213595</v>
      </c>
      <c r="BH34" s="328">
        <f t="shared" si="60"/>
        <v>7.2094996530532654E-2</v>
      </c>
      <c r="BI34" s="85"/>
      <c r="BJ34" s="254" t="s">
        <v>65</v>
      </c>
      <c r="BK34" s="254" t="s">
        <v>92</v>
      </c>
      <c r="BL34" s="231" t="s">
        <v>335</v>
      </c>
      <c r="BM34" s="10"/>
      <c r="BN34" s="10"/>
      <c r="BO34" s="10"/>
    </row>
    <row r="35" spans="1:67" ht="24" customHeight="1">
      <c r="A35" s="231" t="s">
        <v>351</v>
      </c>
      <c r="B35" s="241" t="s">
        <v>352</v>
      </c>
      <c r="C35" s="241" t="s">
        <v>241</v>
      </c>
      <c r="D35" s="64"/>
      <c r="E35" s="65">
        <v>1</v>
      </c>
      <c r="F35" s="220">
        <v>1</v>
      </c>
      <c r="G35" s="221">
        <v>2</v>
      </c>
      <c r="H35" s="64"/>
      <c r="I35" s="65">
        <v>0</v>
      </c>
      <c r="J35" s="67">
        <v>1</v>
      </c>
      <c r="K35" s="236">
        <v>2</v>
      </c>
      <c r="L35" s="68"/>
      <c r="M35" s="69"/>
      <c r="N35" s="69"/>
      <c r="O35" s="70">
        <v>1</v>
      </c>
      <c r="P35" s="71">
        <f>+SUMPRODUCT(P36:P38,AH36:AH38)</f>
        <v>0.155</v>
      </c>
      <c r="Q35" s="71">
        <f>+SUMPRODUCT(Q36:Q38,AI36:AI38)</f>
        <v>0.43</v>
      </c>
      <c r="R35" s="71">
        <f t="shared" si="70"/>
        <v>1</v>
      </c>
      <c r="S35" s="256"/>
      <c r="T35" s="256" t="s">
        <v>353</v>
      </c>
      <c r="U35" s="256" t="s">
        <v>354</v>
      </c>
      <c r="V35" s="231"/>
      <c r="W35" s="256" t="s">
        <v>355</v>
      </c>
      <c r="X35" s="72">
        <v>45230</v>
      </c>
      <c r="Y35" s="112"/>
      <c r="Z35" s="112"/>
      <c r="AA35" s="112"/>
      <c r="AB35" s="74"/>
      <c r="AC35" s="76">
        <f t="shared" si="71"/>
        <v>4</v>
      </c>
      <c r="AD35" s="76">
        <f t="shared" si="72"/>
        <v>3</v>
      </c>
      <c r="AE35" s="84">
        <f>+SUMPRODUCT(AE36:AE38,AF36:AF38)</f>
        <v>0.30142314814814819</v>
      </c>
      <c r="AF35" s="54">
        <f t="shared" si="63"/>
        <v>7.4999999999999997E-2</v>
      </c>
      <c r="AG35" s="84">
        <v>0.04</v>
      </c>
      <c r="AH35" s="285">
        <v>0.01</v>
      </c>
      <c r="AI35" s="70">
        <v>0.125</v>
      </c>
      <c r="AJ35" s="70">
        <v>0.125</v>
      </c>
      <c r="AK35" s="301">
        <v>0</v>
      </c>
      <c r="AL35" s="301">
        <v>10000000</v>
      </c>
      <c r="AM35" s="301">
        <v>10139938</v>
      </c>
      <c r="AN35" s="301">
        <v>30120000</v>
      </c>
      <c r="AO35" s="301">
        <v>0</v>
      </c>
      <c r="AP35" s="79"/>
      <c r="AQ35" s="80"/>
      <c r="AR35" s="81"/>
      <c r="AS35" s="82"/>
      <c r="AT35" s="344">
        <v>0</v>
      </c>
      <c r="AU35" s="329" t="e">
        <f t="shared" si="56"/>
        <v>#DIV/0!</v>
      </c>
      <c r="AV35" s="310"/>
      <c r="AW35" s="310"/>
      <c r="AX35" s="310"/>
      <c r="AY35" s="310"/>
      <c r="AZ35" s="310"/>
      <c r="BA35" s="310"/>
      <c r="BB35" s="310"/>
      <c r="BC35" s="328" t="e">
        <f t="shared" si="67"/>
        <v>#DIV/0!</v>
      </c>
      <c r="BD35" s="317">
        <f>50259938+AK35</f>
        <v>50259938</v>
      </c>
      <c r="BE35" s="312">
        <f t="shared" si="74"/>
        <v>50259938</v>
      </c>
      <c r="BF35" s="328">
        <f t="shared" si="59"/>
        <v>1</v>
      </c>
      <c r="BG35" s="312">
        <f t="shared" si="75"/>
        <v>0</v>
      </c>
      <c r="BH35" s="328">
        <f t="shared" si="60"/>
        <v>0</v>
      </c>
      <c r="BI35" s="56"/>
      <c r="BJ35" s="350" t="s">
        <v>65</v>
      </c>
      <c r="BK35" s="350" t="s">
        <v>92</v>
      </c>
      <c r="BL35" s="350" t="s">
        <v>335</v>
      </c>
      <c r="BM35" s="10"/>
      <c r="BN35" s="10"/>
      <c r="BO35" s="10"/>
    </row>
    <row r="36" spans="1:67" ht="29.25" customHeight="1">
      <c r="A36" s="231" t="s">
        <v>356</v>
      </c>
      <c r="B36" s="241" t="s">
        <v>357</v>
      </c>
      <c r="C36" s="241" t="s">
        <v>241</v>
      </c>
      <c r="D36" s="64">
        <v>5</v>
      </c>
      <c r="E36" s="65">
        <v>8</v>
      </c>
      <c r="F36" s="220">
        <v>8</v>
      </c>
      <c r="G36" s="221">
        <v>6</v>
      </c>
      <c r="H36" s="64">
        <v>5</v>
      </c>
      <c r="I36" s="65">
        <v>6</v>
      </c>
      <c r="J36" s="67">
        <v>8</v>
      </c>
      <c r="K36" s="234">
        <v>6</v>
      </c>
      <c r="L36" s="70"/>
      <c r="M36" s="84"/>
      <c r="N36" s="84"/>
      <c r="O36" s="70">
        <v>1</v>
      </c>
      <c r="P36" s="70">
        <f t="shared" ref="P36:Q36" si="78">IF((I36+M36)/E36&gt;=100%,100%,(I36+M36)/E36)</f>
        <v>0.75</v>
      </c>
      <c r="Q36" s="70">
        <f t="shared" si="78"/>
        <v>1</v>
      </c>
      <c r="R36" s="71">
        <f t="shared" ref="R36:R39" si="79">IF(K36/G36&gt;=100%,100%,K36/G36)</f>
        <v>1</v>
      </c>
      <c r="S36" s="256" t="s">
        <v>358</v>
      </c>
      <c r="T36" s="256" t="s">
        <v>359</v>
      </c>
      <c r="U36" s="256" t="s">
        <v>360</v>
      </c>
      <c r="V36" s="231" t="s">
        <v>361</v>
      </c>
      <c r="W36" s="256" t="s">
        <v>362</v>
      </c>
      <c r="X36" s="72">
        <v>45230</v>
      </c>
      <c r="Y36" s="73"/>
      <c r="Z36" s="63"/>
      <c r="AA36" s="74"/>
      <c r="AB36" s="75"/>
      <c r="AC36" s="76">
        <f t="shared" si="71"/>
        <v>27</v>
      </c>
      <c r="AD36" s="76">
        <f t="shared" si="72"/>
        <v>25</v>
      </c>
      <c r="AE36" s="70">
        <f t="shared" ref="AE36:AE39" si="80">IF(AD36/AC36&gt;=100%,100%,AD36/AC36)</f>
        <v>0.92592592592592593</v>
      </c>
      <c r="AF36" s="54">
        <f t="shared" si="63"/>
        <v>0.12625</v>
      </c>
      <c r="AG36" s="77">
        <v>0.06</v>
      </c>
      <c r="AH36" s="285">
        <v>0.14000000000000001</v>
      </c>
      <c r="AI36" s="70">
        <v>0.18</v>
      </c>
      <c r="AJ36" s="70">
        <v>0.125</v>
      </c>
      <c r="AK36" s="301">
        <v>231382152</v>
      </c>
      <c r="AL36" s="301">
        <v>100400000</v>
      </c>
      <c r="AM36" s="301">
        <v>137078344</v>
      </c>
      <c r="AN36" s="301">
        <v>312160037</v>
      </c>
      <c r="AO36" s="301">
        <v>177928171</v>
      </c>
      <c r="AP36" s="79">
        <f t="shared" si="54"/>
        <v>0.76897967048037486</v>
      </c>
      <c r="AQ36" s="80"/>
      <c r="AR36" s="81"/>
      <c r="AS36" s="82"/>
      <c r="AT36" s="343">
        <v>99302428</v>
      </c>
      <c r="AU36" s="329">
        <f t="shared" si="56"/>
        <v>0.42917064752686718</v>
      </c>
      <c r="AV36" s="313"/>
      <c r="AW36" s="313"/>
      <c r="AX36" s="313"/>
      <c r="AY36" s="313"/>
      <c r="AZ36" s="313"/>
      <c r="BA36" s="313"/>
      <c r="BB36" s="313"/>
      <c r="BC36" s="328" t="e">
        <f t="shared" si="67"/>
        <v>#DIV/0!</v>
      </c>
      <c r="BD36" s="317">
        <f>617297989+AK36</f>
        <v>848680141</v>
      </c>
      <c r="BE36" s="312">
        <f t="shared" si="74"/>
        <v>727566552</v>
      </c>
      <c r="BF36" s="328">
        <f t="shared" si="59"/>
        <v>0.85729183098676986</v>
      </c>
      <c r="BG36" s="312">
        <f t="shared" si="75"/>
        <v>99302428</v>
      </c>
      <c r="BH36" s="328">
        <f t="shared" si="60"/>
        <v>0.11700807312751767</v>
      </c>
      <c r="BI36" s="85"/>
      <c r="BJ36" s="254" t="s">
        <v>67</v>
      </c>
      <c r="BK36" s="254" t="s">
        <v>91</v>
      </c>
      <c r="BL36" s="231" t="s">
        <v>282</v>
      </c>
      <c r="BM36" s="10"/>
      <c r="BN36" s="10"/>
      <c r="BO36" s="10"/>
    </row>
    <row r="37" spans="1:67" ht="31.5" customHeight="1">
      <c r="A37" s="231" t="s">
        <v>363</v>
      </c>
      <c r="B37" s="241" t="s">
        <v>364</v>
      </c>
      <c r="C37" s="241" t="s">
        <v>241</v>
      </c>
      <c r="D37" s="64">
        <v>1</v>
      </c>
      <c r="E37" s="65">
        <v>1</v>
      </c>
      <c r="F37" s="220">
        <v>1</v>
      </c>
      <c r="G37" s="222">
        <v>1</v>
      </c>
      <c r="H37" s="64">
        <v>1</v>
      </c>
      <c r="I37" s="65">
        <v>1</v>
      </c>
      <c r="J37" s="67">
        <v>1</v>
      </c>
      <c r="K37" s="234">
        <v>1</v>
      </c>
      <c r="L37" s="68"/>
      <c r="M37" s="84"/>
      <c r="N37" s="84"/>
      <c r="O37" s="70">
        <v>1</v>
      </c>
      <c r="P37" s="70">
        <f t="shared" ref="P37:Q37" si="81">IF((I37+M37)/E37&gt;=100%,100%,(I37+M37)/E37)</f>
        <v>1</v>
      </c>
      <c r="Q37" s="70">
        <f t="shared" si="81"/>
        <v>1</v>
      </c>
      <c r="R37" s="70">
        <f t="shared" si="79"/>
        <v>1</v>
      </c>
      <c r="S37" s="256" t="s">
        <v>365</v>
      </c>
      <c r="T37" s="256" t="s">
        <v>366</v>
      </c>
      <c r="U37" s="256" t="s">
        <v>367</v>
      </c>
      <c r="V37" s="231" t="s">
        <v>368</v>
      </c>
      <c r="W37" s="256" t="s">
        <v>369</v>
      </c>
      <c r="X37" s="72">
        <v>45230</v>
      </c>
      <c r="Y37" s="73"/>
      <c r="Z37" s="73"/>
      <c r="AA37" s="85"/>
      <c r="AB37" s="88"/>
      <c r="AC37" s="89">
        <f t="shared" si="71"/>
        <v>4</v>
      </c>
      <c r="AD37" s="89">
        <f t="shared" si="72"/>
        <v>4</v>
      </c>
      <c r="AE37" s="90">
        <f t="shared" si="80"/>
        <v>1</v>
      </c>
      <c r="AF37" s="54">
        <f t="shared" si="63"/>
        <v>0.10500000000000001</v>
      </c>
      <c r="AG37" s="94">
        <v>0.16</v>
      </c>
      <c r="AH37" s="284">
        <v>0.01</v>
      </c>
      <c r="AI37" s="84">
        <v>0.125</v>
      </c>
      <c r="AJ37" s="84">
        <v>0.125</v>
      </c>
      <c r="AK37" s="301">
        <v>149800797</v>
      </c>
      <c r="AL37" s="301">
        <v>23936790</v>
      </c>
      <c r="AM37" s="301">
        <v>0</v>
      </c>
      <c r="AN37" s="301">
        <v>170964000</v>
      </c>
      <c r="AO37" s="301">
        <v>149800797</v>
      </c>
      <c r="AP37" s="79">
        <f t="shared" si="54"/>
        <v>1</v>
      </c>
      <c r="AQ37" s="80"/>
      <c r="AR37" s="93"/>
      <c r="AS37" s="82"/>
      <c r="AT37" s="343">
        <v>74700398</v>
      </c>
      <c r="AU37" s="329">
        <f t="shared" si="56"/>
        <v>0.4986648902809242</v>
      </c>
      <c r="AV37" s="313"/>
      <c r="AW37" s="313"/>
      <c r="AX37" s="313"/>
      <c r="AY37" s="313"/>
      <c r="AZ37" s="313"/>
      <c r="BA37" s="313"/>
      <c r="BB37" s="313"/>
      <c r="BC37" s="334" t="e">
        <f t="shared" si="67"/>
        <v>#DIV/0!</v>
      </c>
      <c r="BD37" s="317">
        <f>291818253+AK37</f>
        <v>441619050</v>
      </c>
      <c r="BE37" s="312">
        <f t="shared" si="74"/>
        <v>344701587</v>
      </c>
      <c r="BF37" s="328">
        <f t="shared" si="59"/>
        <v>0.78054057450646663</v>
      </c>
      <c r="BG37" s="312">
        <f t="shared" si="75"/>
        <v>74700398</v>
      </c>
      <c r="BH37" s="328">
        <f t="shared" si="60"/>
        <v>0.16915121301945649</v>
      </c>
      <c r="BI37" s="85"/>
      <c r="BJ37" s="254" t="s">
        <v>67</v>
      </c>
      <c r="BK37" s="254" t="s">
        <v>91</v>
      </c>
      <c r="BL37" s="231" t="s">
        <v>282</v>
      </c>
      <c r="BM37" s="14"/>
      <c r="BN37" s="14"/>
      <c r="BO37" s="14"/>
    </row>
    <row r="38" spans="1:67" ht="27" customHeight="1">
      <c r="A38" s="231" t="s">
        <v>370</v>
      </c>
      <c r="B38" s="241" t="s">
        <v>371</v>
      </c>
      <c r="C38" s="241" t="s">
        <v>241</v>
      </c>
      <c r="D38" s="64">
        <v>1</v>
      </c>
      <c r="E38" s="65">
        <v>1</v>
      </c>
      <c r="F38" s="220">
        <v>1</v>
      </c>
      <c r="G38" s="222">
        <v>1</v>
      </c>
      <c r="H38" s="64">
        <v>1</v>
      </c>
      <c r="I38" s="65">
        <v>1</v>
      </c>
      <c r="J38" s="67">
        <v>1</v>
      </c>
      <c r="K38" s="234">
        <v>1</v>
      </c>
      <c r="L38" s="68"/>
      <c r="M38" s="113"/>
      <c r="N38" s="113"/>
      <c r="O38" s="70">
        <v>1</v>
      </c>
      <c r="P38" s="70">
        <f t="shared" ref="P38:Q38" si="82">IF((I38+M38)/E38&gt;=100%,100%,(I38+M38)/E38)</f>
        <v>1</v>
      </c>
      <c r="Q38" s="70">
        <f t="shared" si="82"/>
        <v>1</v>
      </c>
      <c r="R38" s="70">
        <f t="shared" si="79"/>
        <v>1</v>
      </c>
      <c r="S38" s="256" t="s">
        <v>372</v>
      </c>
      <c r="T38" s="256" t="s">
        <v>373</v>
      </c>
      <c r="U38" s="256" t="s">
        <v>374</v>
      </c>
      <c r="V38" s="231" t="s">
        <v>375</v>
      </c>
      <c r="W38" s="256" t="s">
        <v>376</v>
      </c>
      <c r="X38" s="72">
        <v>45230</v>
      </c>
      <c r="Y38" s="73"/>
      <c r="Z38" s="73"/>
      <c r="AA38" s="85"/>
      <c r="AB38" s="88"/>
      <c r="AC38" s="89">
        <f t="shared" si="71"/>
        <v>4</v>
      </c>
      <c r="AD38" s="89">
        <f t="shared" si="72"/>
        <v>4</v>
      </c>
      <c r="AE38" s="90">
        <f t="shared" si="80"/>
        <v>1</v>
      </c>
      <c r="AF38" s="54">
        <f t="shared" si="63"/>
        <v>7.9524999999999998E-2</v>
      </c>
      <c r="AG38" s="94">
        <v>2.81E-2</v>
      </c>
      <c r="AH38" s="284">
        <v>0.04</v>
      </c>
      <c r="AI38" s="84">
        <v>0.125</v>
      </c>
      <c r="AJ38" s="84">
        <v>0.125</v>
      </c>
      <c r="AK38" s="301">
        <v>49800797</v>
      </c>
      <c r="AL38" s="301">
        <v>0</v>
      </c>
      <c r="AM38" s="301">
        <v>65000000</v>
      </c>
      <c r="AN38" s="301">
        <v>0</v>
      </c>
      <c r="AO38" s="301">
        <v>49800797</v>
      </c>
      <c r="AP38" s="79">
        <f t="shared" si="54"/>
        <v>1</v>
      </c>
      <c r="AQ38" s="80"/>
      <c r="AR38" s="93"/>
      <c r="AS38" s="82"/>
      <c r="AT38" s="343">
        <v>49800797</v>
      </c>
      <c r="AU38" s="329">
        <f t="shared" si="56"/>
        <v>1</v>
      </c>
      <c r="AV38" s="313"/>
      <c r="AW38" s="313"/>
      <c r="AX38" s="313"/>
      <c r="AY38" s="313"/>
      <c r="AZ38" s="313"/>
      <c r="BA38" s="313"/>
      <c r="BB38" s="313"/>
      <c r="BC38" s="334" t="e">
        <f t="shared" si="67"/>
        <v>#DIV/0!</v>
      </c>
      <c r="BD38" s="317">
        <f>95000000+AK38</f>
        <v>144800797</v>
      </c>
      <c r="BE38" s="312">
        <f t="shared" si="74"/>
        <v>114800797</v>
      </c>
      <c r="BF38" s="328">
        <f t="shared" si="59"/>
        <v>0.79281881991298708</v>
      </c>
      <c r="BG38" s="312">
        <f t="shared" si="75"/>
        <v>49800797</v>
      </c>
      <c r="BH38" s="328">
        <f t="shared" si="60"/>
        <v>0.34392626305779245</v>
      </c>
      <c r="BI38" s="85"/>
      <c r="BJ38" s="254" t="s">
        <v>67</v>
      </c>
      <c r="BK38" s="254" t="s">
        <v>91</v>
      </c>
      <c r="BL38" s="231" t="s">
        <v>282</v>
      </c>
      <c r="BM38" s="14"/>
      <c r="BN38" s="14"/>
      <c r="BO38" s="14"/>
    </row>
    <row r="39" spans="1:67" ht="54" customHeight="1">
      <c r="A39" s="231" t="s">
        <v>377</v>
      </c>
      <c r="B39" s="241" t="s">
        <v>378</v>
      </c>
      <c r="C39" s="241" t="s">
        <v>241</v>
      </c>
      <c r="D39" s="64">
        <v>3</v>
      </c>
      <c r="E39" s="65">
        <v>3</v>
      </c>
      <c r="F39" s="220">
        <v>3</v>
      </c>
      <c r="G39" s="221">
        <v>4</v>
      </c>
      <c r="H39" s="64">
        <v>3</v>
      </c>
      <c r="I39" s="65">
        <v>1</v>
      </c>
      <c r="J39" s="67">
        <v>1</v>
      </c>
      <c r="K39" s="234">
        <v>4</v>
      </c>
      <c r="L39" s="68"/>
      <c r="M39" s="113"/>
      <c r="N39" s="113"/>
      <c r="O39" s="70">
        <v>1</v>
      </c>
      <c r="P39" s="70">
        <f t="shared" ref="P39:Q39" si="83">IF((I39+M39)/E39&gt;=100%,100%,(I39+M39)/E39)</f>
        <v>0.33333333333333331</v>
      </c>
      <c r="Q39" s="70">
        <f t="shared" si="83"/>
        <v>0.33333333333333331</v>
      </c>
      <c r="R39" s="71">
        <f t="shared" si="79"/>
        <v>1</v>
      </c>
      <c r="S39" s="256" t="s">
        <v>379</v>
      </c>
      <c r="T39" s="256" t="s">
        <v>380</v>
      </c>
      <c r="U39" s="256" t="s">
        <v>381</v>
      </c>
      <c r="V39" s="231" t="s">
        <v>382</v>
      </c>
      <c r="W39" s="256" t="s">
        <v>383</v>
      </c>
      <c r="X39" s="72">
        <v>45230</v>
      </c>
      <c r="Y39" s="73"/>
      <c r="Z39" s="63"/>
      <c r="AA39" s="74"/>
      <c r="AB39" s="75"/>
      <c r="AC39" s="76">
        <f t="shared" si="71"/>
        <v>13</v>
      </c>
      <c r="AD39" s="76">
        <f t="shared" si="72"/>
        <v>9</v>
      </c>
      <c r="AE39" s="71">
        <f t="shared" si="80"/>
        <v>0.69230769230769229</v>
      </c>
      <c r="AF39" s="54">
        <f t="shared" si="63"/>
        <v>0.09</v>
      </c>
      <c r="AG39" s="77">
        <v>0.11</v>
      </c>
      <c r="AH39" s="285">
        <v>0</v>
      </c>
      <c r="AI39" s="70">
        <v>0.125</v>
      </c>
      <c r="AJ39" s="70">
        <v>0.125</v>
      </c>
      <c r="AK39" s="301">
        <v>168750000</v>
      </c>
      <c r="AL39" s="301">
        <v>57885429</v>
      </c>
      <c r="AM39" s="301">
        <v>0</v>
      </c>
      <c r="AN39" s="301">
        <v>50000000</v>
      </c>
      <c r="AO39" s="301">
        <v>139750000</v>
      </c>
      <c r="AP39" s="79">
        <f t="shared" si="54"/>
        <v>0.82814814814814819</v>
      </c>
      <c r="AQ39" s="80"/>
      <c r="AR39" s="81"/>
      <c r="AS39" s="82"/>
      <c r="AT39" s="343">
        <v>96000000</v>
      </c>
      <c r="AU39" s="329">
        <f t="shared" si="56"/>
        <v>0.56888888888888889</v>
      </c>
      <c r="AV39" s="313"/>
      <c r="AW39" s="313"/>
      <c r="AX39" s="313"/>
      <c r="AY39" s="313"/>
      <c r="AZ39" s="313"/>
      <c r="BA39" s="313"/>
      <c r="BB39" s="313"/>
      <c r="BC39" s="328"/>
      <c r="BD39" s="317">
        <f>160000000+AK39</f>
        <v>328750000</v>
      </c>
      <c r="BE39" s="312">
        <f t="shared" si="74"/>
        <v>247635429</v>
      </c>
      <c r="BF39" s="328">
        <f t="shared" si="59"/>
        <v>0.75326366235741449</v>
      </c>
      <c r="BG39" s="312">
        <f t="shared" si="75"/>
        <v>96000000</v>
      </c>
      <c r="BH39" s="328">
        <f t="shared" si="60"/>
        <v>0.29201520912547529</v>
      </c>
      <c r="BI39" s="85"/>
      <c r="BJ39" s="254" t="s">
        <v>65</v>
      </c>
      <c r="BK39" s="254" t="s">
        <v>91</v>
      </c>
      <c r="BL39" s="231" t="s">
        <v>335</v>
      </c>
      <c r="BM39" s="10"/>
      <c r="BN39" s="10"/>
      <c r="BO39" s="10"/>
    </row>
    <row r="40" spans="1:67" ht="29.25" customHeight="1">
      <c r="A40" s="195" t="s">
        <v>384</v>
      </c>
      <c r="B40" s="53"/>
      <c r="C40" s="53"/>
      <c r="D40" s="53"/>
      <c r="E40" s="53"/>
      <c r="F40" s="53"/>
      <c r="G40" s="53"/>
      <c r="H40" s="53"/>
      <c r="I40" s="53"/>
      <c r="J40" s="53"/>
      <c r="K40" s="53"/>
      <c r="L40" s="53"/>
      <c r="M40" s="53"/>
      <c r="N40" s="53"/>
      <c r="O40" s="54">
        <f>+SUMPRODUCT(O41:O45,AG41:AG45)</f>
        <v>1</v>
      </c>
      <c r="P40" s="54">
        <f>+SUMPRODUCT(P41:P45,AH41:AH45)</f>
        <v>0.96959999999999991</v>
      </c>
      <c r="Q40" s="54">
        <f>+SUMPRODUCT(Q41:Q45,AI41:AI45)</f>
        <v>0.9867999999999999</v>
      </c>
      <c r="R40" s="54">
        <f>+SUMPRODUCT(R41:R45,AJ41:AJ45)</f>
        <v>0.73146</v>
      </c>
      <c r="S40" s="259"/>
      <c r="T40" s="259"/>
      <c r="U40" s="259"/>
      <c r="V40" s="259"/>
      <c r="W40" s="259"/>
      <c r="X40" s="55"/>
      <c r="Y40" s="56"/>
      <c r="Z40" s="56"/>
      <c r="AA40" s="56"/>
      <c r="AB40" s="56"/>
      <c r="AC40" s="57"/>
      <c r="AD40" s="57"/>
      <c r="AE40" s="54">
        <f>+SUMPRODUCT(AE41:AE45,AF41:AF45)</f>
        <v>0.93222358333333333</v>
      </c>
      <c r="AF40" s="54">
        <f t="shared" si="63"/>
        <v>0.27300000000000002</v>
      </c>
      <c r="AG40" s="54">
        <v>0.34200000000000003</v>
      </c>
      <c r="AH40" s="249">
        <v>0.25</v>
      </c>
      <c r="AI40" s="54">
        <v>0.25</v>
      </c>
      <c r="AJ40" s="54">
        <v>0.25</v>
      </c>
      <c r="AK40" s="296">
        <f t="shared" ref="AK40:AO40" si="84">SUM(AK41:AK45)</f>
        <v>452520717</v>
      </c>
      <c r="AL40" s="296">
        <f t="shared" si="84"/>
        <v>29966068</v>
      </c>
      <c r="AM40" s="296">
        <f t="shared" si="84"/>
        <v>315503015</v>
      </c>
      <c r="AN40" s="296">
        <f t="shared" si="84"/>
        <v>238598622</v>
      </c>
      <c r="AO40" s="296">
        <f t="shared" si="84"/>
        <v>357928002</v>
      </c>
      <c r="AP40" s="59">
        <f t="shared" si="54"/>
        <v>0.79096489630992961</v>
      </c>
      <c r="AQ40" s="182"/>
      <c r="AR40" s="182"/>
      <c r="AS40" s="182"/>
      <c r="AT40" s="323">
        <f>+SUM(AT41:AT45)</f>
        <v>262077530</v>
      </c>
      <c r="AU40" s="331">
        <f t="shared" si="56"/>
        <v>0.57915034639176532</v>
      </c>
      <c r="AV40" s="310">
        <f t="shared" ref="AV40:BB40" si="85">+AV41+AV42+AV43+AV44+AV45</f>
        <v>0</v>
      </c>
      <c r="AW40" s="310">
        <f t="shared" si="85"/>
        <v>0</v>
      </c>
      <c r="AX40" s="310">
        <f t="shared" si="85"/>
        <v>0</v>
      </c>
      <c r="AY40" s="310">
        <f t="shared" si="85"/>
        <v>0</v>
      </c>
      <c r="AZ40" s="310">
        <f t="shared" si="85"/>
        <v>0</v>
      </c>
      <c r="BA40" s="310">
        <f t="shared" si="85"/>
        <v>0</v>
      </c>
      <c r="BB40" s="310">
        <f t="shared" si="85"/>
        <v>0</v>
      </c>
      <c r="BC40" s="325" t="e">
        <f>+BB40/BA40</f>
        <v>#DIV/0!</v>
      </c>
      <c r="BD40" s="300">
        <f t="shared" ref="BD40:BE40" si="86">SUM(BD41:BD45)</f>
        <v>1121475077</v>
      </c>
      <c r="BE40" s="300">
        <f t="shared" si="86"/>
        <v>941995707</v>
      </c>
      <c r="BF40" s="325">
        <f t="shared" si="59"/>
        <v>0.83996133870391843</v>
      </c>
      <c r="BG40" s="300">
        <f>SUM(BG41:BG45)</f>
        <v>262077530</v>
      </c>
      <c r="BH40" s="325">
        <f>+BG40/BD40</f>
        <v>0.23369001717012744</v>
      </c>
      <c r="BI40" s="56"/>
      <c r="BJ40" s="350" t="s">
        <v>81</v>
      </c>
      <c r="BK40" s="350" t="s">
        <v>83</v>
      </c>
      <c r="BL40" s="350" t="s">
        <v>230</v>
      </c>
      <c r="BM40" s="62"/>
      <c r="BN40" s="62"/>
      <c r="BO40" s="62"/>
    </row>
    <row r="41" spans="1:67" ht="30.75" customHeight="1">
      <c r="A41" s="231" t="s">
        <v>228</v>
      </c>
      <c r="B41" s="230"/>
      <c r="C41" s="241" t="s">
        <v>229</v>
      </c>
      <c r="D41" s="64">
        <v>0</v>
      </c>
      <c r="E41" s="65">
        <v>100</v>
      </c>
      <c r="F41" s="220">
        <v>100</v>
      </c>
      <c r="G41" s="66">
        <v>100</v>
      </c>
      <c r="H41" s="64">
        <v>0</v>
      </c>
      <c r="I41" s="65">
        <v>96</v>
      </c>
      <c r="J41" s="67">
        <v>93.4</v>
      </c>
      <c r="K41" s="233">
        <v>65.73</v>
      </c>
      <c r="L41" s="68"/>
      <c r="M41" s="113"/>
      <c r="N41" s="113"/>
      <c r="O41" s="70">
        <v>0</v>
      </c>
      <c r="P41" s="70">
        <f t="shared" ref="P41:Q41" si="87">IF((I41+M41)/E41&gt;=100%,100%,(I41+M41)/E41)</f>
        <v>0.96</v>
      </c>
      <c r="Q41" s="70">
        <f t="shared" si="87"/>
        <v>0.93400000000000005</v>
      </c>
      <c r="R41" s="71">
        <f t="shared" ref="R41:R45" si="88">IF(K41/G41&gt;=100%,100%,K41/G41)</f>
        <v>0.6573</v>
      </c>
      <c r="S41" s="261"/>
      <c r="T41" s="261"/>
      <c r="U41" s="261"/>
      <c r="V41" s="231"/>
      <c r="W41" s="231"/>
      <c r="X41" s="72">
        <v>45230</v>
      </c>
      <c r="Y41" s="73"/>
      <c r="Z41" s="63"/>
      <c r="AA41" s="74"/>
      <c r="AB41" s="75"/>
      <c r="AC41" s="76">
        <f t="shared" ref="AC41:AC45" si="89">SUM(D41:G41)</f>
        <v>300</v>
      </c>
      <c r="AD41" s="76">
        <f t="shared" ref="AD41:AD45" si="90">SUM(H41:N41)</f>
        <v>255.13</v>
      </c>
      <c r="AE41" s="71">
        <f t="shared" ref="AE41:AE45" si="91">IF(AD41/AC41&gt;=100%,100%,AD41/AC41)</f>
        <v>0.85043333333333326</v>
      </c>
      <c r="AF41" s="54">
        <f t="shared" si="63"/>
        <v>0.22749999999999998</v>
      </c>
      <c r="AG41" s="77">
        <v>0</v>
      </c>
      <c r="AH41" s="289">
        <v>0.51</v>
      </c>
      <c r="AI41" s="70">
        <v>0.2</v>
      </c>
      <c r="AJ41" s="70">
        <v>0.2</v>
      </c>
      <c r="AK41" s="301">
        <v>205859000</v>
      </c>
      <c r="AL41" s="301">
        <v>0</v>
      </c>
      <c r="AM41" s="301">
        <f>157315367+6635120</f>
        <v>163950487</v>
      </c>
      <c r="AN41" s="301">
        <v>173867942</v>
      </c>
      <c r="AO41" s="301">
        <v>135304761</v>
      </c>
      <c r="AP41" s="79">
        <f t="shared" si="54"/>
        <v>0.65726910652436865</v>
      </c>
      <c r="AQ41" s="80"/>
      <c r="AR41" s="81"/>
      <c r="AS41" s="82"/>
      <c r="AT41" s="343">
        <v>134344121</v>
      </c>
      <c r="AU41" s="329">
        <f t="shared" si="56"/>
        <v>0.65260261149621823</v>
      </c>
      <c r="AV41" s="313"/>
      <c r="AW41" s="313"/>
      <c r="AX41" s="313"/>
      <c r="AY41" s="313"/>
      <c r="AZ41" s="313"/>
      <c r="BA41" s="313"/>
      <c r="BB41" s="313"/>
      <c r="BC41" s="328"/>
      <c r="BD41" s="317">
        <f>357743000+AK41</f>
        <v>563602000</v>
      </c>
      <c r="BE41" s="312">
        <f>+AL41+AM41+AN41+AO41</f>
        <v>473123190</v>
      </c>
      <c r="BF41" s="328">
        <f t="shared" si="59"/>
        <v>0.83946329147164134</v>
      </c>
      <c r="BG41" s="312">
        <f>SUM(AQ41:AT41)+AX41+AZ41+BB41</f>
        <v>134344121</v>
      </c>
      <c r="BH41" s="328">
        <f t="shared" si="60"/>
        <v>0.23836700544000908</v>
      </c>
      <c r="BI41" s="85"/>
      <c r="BJ41" s="254" t="s">
        <v>81</v>
      </c>
      <c r="BK41" s="254" t="s">
        <v>83</v>
      </c>
      <c r="BL41" s="231" t="s">
        <v>230</v>
      </c>
      <c r="BM41" s="10"/>
      <c r="BN41" s="10"/>
      <c r="BO41" s="10"/>
    </row>
    <row r="42" spans="1:67" ht="28.5" customHeight="1">
      <c r="A42" s="231" t="s">
        <v>385</v>
      </c>
      <c r="B42" s="241" t="s">
        <v>386</v>
      </c>
      <c r="C42" s="241" t="s">
        <v>241</v>
      </c>
      <c r="D42" s="64">
        <v>5</v>
      </c>
      <c r="E42" s="65">
        <v>11</v>
      </c>
      <c r="F42" s="220">
        <v>7</v>
      </c>
      <c r="G42" s="222">
        <v>9</v>
      </c>
      <c r="H42" s="64">
        <v>5</v>
      </c>
      <c r="I42" s="65">
        <v>11</v>
      </c>
      <c r="J42" s="67">
        <v>8</v>
      </c>
      <c r="K42" s="236">
        <v>9</v>
      </c>
      <c r="L42" s="68"/>
      <c r="M42" s="113"/>
      <c r="N42" s="113"/>
      <c r="O42" s="70">
        <v>1</v>
      </c>
      <c r="P42" s="70">
        <f t="shared" ref="P42:Q42" si="92">IF((I42+M42)/E42&gt;=100%,100%,(I42+M42)/E42)</f>
        <v>1</v>
      </c>
      <c r="Q42" s="70">
        <f t="shared" si="92"/>
        <v>1</v>
      </c>
      <c r="R42" s="70">
        <f t="shared" si="88"/>
        <v>1</v>
      </c>
      <c r="S42" s="265"/>
      <c r="T42" s="256" t="s">
        <v>387</v>
      </c>
      <c r="U42" s="256" t="s">
        <v>388</v>
      </c>
      <c r="V42" s="231" t="s">
        <v>389</v>
      </c>
      <c r="W42" s="256" t="s">
        <v>390</v>
      </c>
      <c r="X42" s="72">
        <v>45230</v>
      </c>
      <c r="Y42" s="73"/>
      <c r="Z42" s="73"/>
      <c r="AA42" s="85"/>
      <c r="AB42" s="88"/>
      <c r="AC42" s="89">
        <f t="shared" si="89"/>
        <v>32</v>
      </c>
      <c r="AD42" s="89">
        <f t="shared" si="90"/>
        <v>33</v>
      </c>
      <c r="AE42" s="90">
        <f t="shared" si="91"/>
        <v>1</v>
      </c>
      <c r="AF42" s="54">
        <f t="shared" si="63"/>
        <v>0.35749999999999998</v>
      </c>
      <c r="AG42" s="94">
        <v>1</v>
      </c>
      <c r="AH42" s="284">
        <v>0.03</v>
      </c>
      <c r="AI42" s="84">
        <v>0.2</v>
      </c>
      <c r="AJ42" s="70">
        <v>0.2</v>
      </c>
      <c r="AK42" s="301">
        <v>100360000</v>
      </c>
      <c r="AL42" s="301">
        <v>29966068</v>
      </c>
      <c r="AM42" s="301">
        <v>9999980</v>
      </c>
      <c r="AN42" s="301">
        <v>13480680</v>
      </c>
      <c r="AO42" s="301">
        <v>98960700</v>
      </c>
      <c r="AP42" s="79">
        <f t="shared" si="54"/>
        <v>0.9860571941012356</v>
      </c>
      <c r="AQ42" s="80"/>
      <c r="AR42" s="93"/>
      <c r="AS42" s="82"/>
      <c r="AT42" s="343">
        <v>48114772</v>
      </c>
      <c r="AU42" s="329">
        <f t="shared" si="56"/>
        <v>0.47942180151454761</v>
      </c>
      <c r="AV42" s="313"/>
      <c r="AW42" s="313"/>
      <c r="AX42" s="313"/>
      <c r="AY42" s="313"/>
      <c r="AZ42" s="313"/>
      <c r="BA42" s="313"/>
      <c r="BB42" s="313"/>
      <c r="BC42" s="334"/>
      <c r="BD42" s="317">
        <f>106961360+AK42</f>
        <v>207321360</v>
      </c>
      <c r="BE42" s="312">
        <f>+AL42+AM42+AN42+AO42</f>
        <v>152407428</v>
      </c>
      <c r="BF42" s="328">
        <f t="shared" si="59"/>
        <v>0.73512651084287695</v>
      </c>
      <c r="BG42" s="312">
        <f>SUM(AQ42:AT42)+AX42+AZ42+BB42</f>
        <v>48114772</v>
      </c>
      <c r="BH42" s="328">
        <f t="shared" si="60"/>
        <v>0.23207821905084935</v>
      </c>
      <c r="BI42" s="85"/>
      <c r="BJ42" s="254" t="s">
        <v>65</v>
      </c>
      <c r="BK42" s="254" t="s">
        <v>94</v>
      </c>
      <c r="BL42" s="231" t="s">
        <v>335</v>
      </c>
      <c r="BM42" s="14"/>
      <c r="BN42" s="14"/>
      <c r="BO42" s="14"/>
    </row>
    <row r="43" spans="1:67" ht="26.25" customHeight="1">
      <c r="A43" s="231" t="s">
        <v>391</v>
      </c>
      <c r="B43" s="241" t="s">
        <v>392</v>
      </c>
      <c r="C43" s="241" t="s">
        <v>229</v>
      </c>
      <c r="D43" s="64">
        <v>80</v>
      </c>
      <c r="E43" s="65">
        <v>80</v>
      </c>
      <c r="F43" s="220">
        <v>80</v>
      </c>
      <c r="G43" s="221">
        <v>80</v>
      </c>
      <c r="H43" s="64">
        <v>80</v>
      </c>
      <c r="I43" s="65">
        <v>80</v>
      </c>
      <c r="J43" s="67">
        <v>80</v>
      </c>
      <c r="K43" s="236">
        <v>80</v>
      </c>
      <c r="L43" s="68"/>
      <c r="M43" s="113"/>
      <c r="N43" s="113"/>
      <c r="O43" s="70">
        <f t="shared" ref="O43:Q43" si="93">IF((H43+L43)/D43&gt;=100%,100%,(H43+L43)/D43)</f>
        <v>1</v>
      </c>
      <c r="P43" s="70">
        <f t="shared" si="93"/>
        <v>1</v>
      </c>
      <c r="Q43" s="70">
        <f t="shared" si="93"/>
        <v>1</v>
      </c>
      <c r="R43" s="71">
        <f t="shared" si="88"/>
        <v>1</v>
      </c>
      <c r="S43" s="265" t="s">
        <v>393</v>
      </c>
      <c r="T43" s="256" t="s">
        <v>394</v>
      </c>
      <c r="U43" s="256" t="s">
        <v>395</v>
      </c>
      <c r="V43" s="231" t="s">
        <v>396</v>
      </c>
      <c r="W43" s="256" t="s">
        <v>397</v>
      </c>
      <c r="X43" s="72">
        <v>45230</v>
      </c>
      <c r="Y43" s="73"/>
      <c r="Z43" s="63"/>
      <c r="AA43" s="74"/>
      <c r="AB43" s="75"/>
      <c r="AC43" s="76">
        <f t="shared" si="89"/>
        <v>320</v>
      </c>
      <c r="AD43" s="76">
        <f t="shared" si="90"/>
        <v>320</v>
      </c>
      <c r="AE43" s="71">
        <f t="shared" si="91"/>
        <v>1</v>
      </c>
      <c r="AF43" s="54">
        <f t="shared" si="63"/>
        <v>0.1875</v>
      </c>
      <c r="AG43" s="77">
        <v>0</v>
      </c>
      <c r="AH43" s="285">
        <v>0.35</v>
      </c>
      <c r="AI43" s="70">
        <v>0.2</v>
      </c>
      <c r="AJ43" s="70">
        <v>0.2</v>
      </c>
      <c r="AK43" s="301">
        <v>146301717</v>
      </c>
      <c r="AL43" s="301">
        <v>0</v>
      </c>
      <c r="AM43" s="301">
        <v>106552548</v>
      </c>
      <c r="AN43" s="301">
        <v>51250000</v>
      </c>
      <c r="AO43" s="301">
        <v>123662541</v>
      </c>
      <c r="AP43" s="79">
        <f t="shared" si="54"/>
        <v>0.84525693570636629</v>
      </c>
      <c r="AQ43" s="80"/>
      <c r="AR43" s="81"/>
      <c r="AS43" s="82"/>
      <c r="AT43" s="343">
        <v>79618637</v>
      </c>
      <c r="AU43" s="329">
        <f t="shared" si="56"/>
        <v>0.54420849346559619</v>
      </c>
      <c r="AV43" s="313"/>
      <c r="AW43" s="313"/>
      <c r="AX43" s="313"/>
      <c r="AY43" s="313"/>
      <c r="AZ43" s="313"/>
      <c r="BA43" s="313"/>
      <c r="BB43" s="313"/>
      <c r="BC43" s="328"/>
      <c r="BD43" s="317">
        <f>159250000+AK43</f>
        <v>305551717</v>
      </c>
      <c r="BE43" s="312">
        <f>+AL43+AM43+AN43+AO43</f>
        <v>281465089</v>
      </c>
      <c r="BF43" s="328">
        <f t="shared" si="59"/>
        <v>0.92117004533147495</v>
      </c>
      <c r="BG43" s="312">
        <f>SUM(AQ43:AT43)+AX43+AZ43+BB43</f>
        <v>79618637</v>
      </c>
      <c r="BH43" s="328">
        <f t="shared" si="60"/>
        <v>0.26057335819192928</v>
      </c>
      <c r="BI43" s="85"/>
      <c r="BJ43" s="254" t="s">
        <v>65</v>
      </c>
      <c r="BK43" s="254" t="s">
        <v>94</v>
      </c>
      <c r="BL43" s="231" t="s">
        <v>335</v>
      </c>
      <c r="BM43" s="10"/>
      <c r="BN43" s="10"/>
      <c r="BO43" s="10"/>
    </row>
    <row r="44" spans="1:67" ht="31.5" customHeight="1">
      <c r="A44" s="231" t="s">
        <v>398</v>
      </c>
      <c r="B44" s="241" t="s">
        <v>399</v>
      </c>
      <c r="C44" s="241" t="s">
        <v>241</v>
      </c>
      <c r="D44" s="64">
        <v>2</v>
      </c>
      <c r="E44" s="65">
        <v>2</v>
      </c>
      <c r="F44" s="220">
        <v>2</v>
      </c>
      <c r="G44" s="221">
        <v>2</v>
      </c>
      <c r="H44" s="64">
        <v>0</v>
      </c>
      <c r="I44" s="65">
        <v>3</v>
      </c>
      <c r="J44" s="67">
        <v>3</v>
      </c>
      <c r="K44" s="234">
        <v>0</v>
      </c>
      <c r="L44" s="68"/>
      <c r="M44" s="113"/>
      <c r="N44" s="113"/>
      <c r="O44" s="70">
        <f t="shared" ref="O44:Q44" si="94">IF((H44+L44)/D44&gt;=100%,100%,(H44+L44)/D44)</f>
        <v>0</v>
      </c>
      <c r="P44" s="70">
        <f t="shared" si="94"/>
        <v>1</v>
      </c>
      <c r="Q44" s="70">
        <f t="shared" si="94"/>
        <v>1</v>
      </c>
      <c r="R44" s="71">
        <f t="shared" si="88"/>
        <v>0</v>
      </c>
      <c r="S44" s="256" t="s">
        <v>400</v>
      </c>
      <c r="T44" s="256" t="s">
        <v>401</v>
      </c>
      <c r="U44" s="256" t="s">
        <v>402</v>
      </c>
      <c r="V44" s="231"/>
      <c r="W44" s="256" t="s">
        <v>403</v>
      </c>
      <c r="X44" s="72">
        <v>45230</v>
      </c>
      <c r="Y44" s="73"/>
      <c r="Z44" s="63"/>
      <c r="AA44" s="74"/>
      <c r="AB44" s="75"/>
      <c r="AC44" s="76">
        <f t="shared" si="89"/>
        <v>8</v>
      </c>
      <c r="AD44" s="76">
        <f t="shared" si="90"/>
        <v>6</v>
      </c>
      <c r="AE44" s="71">
        <f t="shared" si="91"/>
        <v>0.75</v>
      </c>
      <c r="AF44" s="54">
        <f t="shared" si="63"/>
        <v>0.125</v>
      </c>
      <c r="AG44" s="77">
        <v>0</v>
      </c>
      <c r="AH44" s="285">
        <v>0.1</v>
      </c>
      <c r="AI44" s="70">
        <v>0.2</v>
      </c>
      <c r="AJ44" s="70">
        <v>0.2</v>
      </c>
      <c r="AK44" s="301">
        <v>0</v>
      </c>
      <c r="AL44" s="301">
        <v>0</v>
      </c>
      <c r="AM44" s="301">
        <v>35000000</v>
      </c>
      <c r="AN44" s="301">
        <v>0</v>
      </c>
      <c r="AO44" s="301">
        <v>0</v>
      </c>
      <c r="AP44" s="79">
        <v>0</v>
      </c>
      <c r="AQ44" s="80"/>
      <c r="AR44" s="81"/>
      <c r="AS44" s="82"/>
      <c r="AT44" s="344">
        <v>0</v>
      </c>
      <c r="AU44" s="329">
        <v>0</v>
      </c>
      <c r="AV44" s="313"/>
      <c r="AW44" s="313"/>
      <c r="AX44" s="313"/>
      <c r="AY44" s="313"/>
      <c r="AZ44" s="313"/>
      <c r="BA44" s="313"/>
      <c r="BB44" s="313"/>
      <c r="BC44" s="328"/>
      <c r="BD44" s="317">
        <f>45000000+AK44</f>
        <v>45000000</v>
      </c>
      <c r="BE44" s="312">
        <f>+AL44+AM44+AN44+AO44</f>
        <v>35000000</v>
      </c>
      <c r="BF44" s="328">
        <f t="shared" si="59"/>
        <v>0.77777777777777779</v>
      </c>
      <c r="BG44" s="312">
        <f>SUM(AQ44:AT44)+AX44+AZ44+BB44</f>
        <v>0</v>
      </c>
      <c r="BH44" s="328">
        <f t="shared" si="60"/>
        <v>0</v>
      </c>
      <c r="BI44" s="85"/>
      <c r="BJ44" s="254" t="s">
        <v>65</v>
      </c>
      <c r="BK44" s="254" t="s">
        <v>94</v>
      </c>
      <c r="BL44" s="231" t="s">
        <v>335</v>
      </c>
      <c r="BM44" s="10"/>
      <c r="BN44" s="10"/>
      <c r="BO44" s="10"/>
    </row>
    <row r="45" spans="1:67" ht="30" customHeight="1">
      <c r="A45" s="231" t="s">
        <v>404</v>
      </c>
      <c r="B45" s="241" t="s">
        <v>405</v>
      </c>
      <c r="C45" s="241" t="s">
        <v>229</v>
      </c>
      <c r="D45" s="64">
        <v>80</v>
      </c>
      <c r="E45" s="65">
        <v>80</v>
      </c>
      <c r="F45" s="220">
        <v>80</v>
      </c>
      <c r="G45" s="221">
        <v>80</v>
      </c>
      <c r="H45" s="64">
        <v>80</v>
      </c>
      <c r="I45" s="65">
        <v>80</v>
      </c>
      <c r="J45" s="67">
        <v>80</v>
      </c>
      <c r="K45" s="234">
        <v>80</v>
      </c>
      <c r="L45" s="68"/>
      <c r="M45" s="113"/>
      <c r="N45" s="113"/>
      <c r="O45" s="70">
        <f t="shared" ref="O45:Q45" si="95">IF((H45+L45)/D45&gt;=100%,100%,(H45+L45)/D45)</f>
        <v>1</v>
      </c>
      <c r="P45" s="70">
        <f t="shared" si="95"/>
        <v>1</v>
      </c>
      <c r="Q45" s="70">
        <f t="shared" si="95"/>
        <v>1</v>
      </c>
      <c r="R45" s="71">
        <f t="shared" si="88"/>
        <v>1</v>
      </c>
      <c r="S45" s="258" t="s">
        <v>406</v>
      </c>
      <c r="T45" s="256" t="s">
        <v>407</v>
      </c>
      <c r="U45" s="256" t="s">
        <v>408</v>
      </c>
      <c r="V45" s="231"/>
      <c r="W45" s="256" t="s">
        <v>409</v>
      </c>
      <c r="X45" s="72">
        <v>45230</v>
      </c>
      <c r="Y45" s="73"/>
      <c r="Z45" s="63"/>
      <c r="AA45" s="74"/>
      <c r="AB45" s="75"/>
      <c r="AC45" s="76">
        <f t="shared" si="89"/>
        <v>320</v>
      </c>
      <c r="AD45" s="76">
        <f t="shared" si="90"/>
        <v>320</v>
      </c>
      <c r="AE45" s="71">
        <f t="shared" si="91"/>
        <v>1</v>
      </c>
      <c r="AF45" s="54">
        <f t="shared" si="63"/>
        <v>0.1</v>
      </c>
      <c r="AG45" s="77">
        <v>0</v>
      </c>
      <c r="AH45" s="285">
        <v>0</v>
      </c>
      <c r="AI45" s="70">
        <v>0.2</v>
      </c>
      <c r="AJ45" s="70">
        <v>0.2</v>
      </c>
      <c r="AK45" s="301">
        <v>0</v>
      </c>
      <c r="AL45" s="301">
        <v>0</v>
      </c>
      <c r="AM45" s="301">
        <v>0</v>
      </c>
      <c r="AN45" s="301">
        <v>0</v>
      </c>
      <c r="AO45" s="301">
        <v>0</v>
      </c>
      <c r="AP45" s="79">
        <v>0</v>
      </c>
      <c r="AQ45" s="80"/>
      <c r="AR45" s="81"/>
      <c r="AS45" s="82"/>
      <c r="AT45" s="344">
        <v>0</v>
      </c>
      <c r="AU45" s="329">
        <v>0</v>
      </c>
      <c r="AV45" s="313"/>
      <c r="AW45" s="313"/>
      <c r="AX45" s="313"/>
      <c r="AY45" s="313"/>
      <c r="AZ45" s="313"/>
      <c r="BA45" s="313"/>
      <c r="BB45" s="313"/>
      <c r="BC45" s="328"/>
      <c r="BD45" s="317">
        <f>0+AK45</f>
        <v>0</v>
      </c>
      <c r="BE45" s="312">
        <f>+AL45+AM45+AN45+AO45</f>
        <v>0</v>
      </c>
      <c r="BF45" s="328">
        <v>0</v>
      </c>
      <c r="BG45" s="312">
        <f>SUM(AQ45:AT45)+AX45+AZ45+BB45</f>
        <v>0</v>
      </c>
      <c r="BH45" s="328" t="e">
        <f t="shared" si="60"/>
        <v>#DIV/0!</v>
      </c>
      <c r="BI45" s="85"/>
      <c r="BJ45" s="254" t="s">
        <v>65</v>
      </c>
      <c r="BK45" s="254" t="s">
        <v>94</v>
      </c>
      <c r="BL45" s="231" t="s">
        <v>335</v>
      </c>
      <c r="BM45" s="10"/>
      <c r="BN45" s="10"/>
      <c r="BO45" s="10"/>
    </row>
    <row r="46" spans="1:67" ht="28.5" customHeight="1">
      <c r="A46" s="195" t="s">
        <v>410</v>
      </c>
      <c r="B46" s="53"/>
      <c r="C46" s="53"/>
      <c r="D46" s="53"/>
      <c r="E46" s="53"/>
      <c r="F46" s="53"/>
      <c r="G46" s="53"/>
      <c r="H46" s="53"/>
      <c r="I46" s="53"/>
      <c r="J46" s="53"/>
      <c r="K46" s="53"/>
      <c r="L46" s="53"/>
      <c r="M46" s="53"/>
      <c r="N46" s="53"/>
      <c r="O46" s="54">
        <f>+SUMPRODUCT(O47:O53,AG47:AG53)</f>
        <v>0.95542999999999989</v>
      </c>
      <c r="P46" s="54">
        <f>+SUMPRODUCT(P47:P53,AH47:AH53)</f>
        <v>0.91270000000000007</v>
      </c>
      <c r="Q46" s="54">
        <f>+SUMPRODUCT(Q47:Q53,AI47:AI53)</f>
        <v>0.7017192000000001</v>
      </c>
      <c r="R46" s="54">
        <f>+SUMPRODUCT(R47:R53,AJ47:AJ53)</f>
        <v>0.85235892000000013</v>
      </c>
      <c r="S46" s="259"/>
      <c r="T46" s="259"/>
      <c r="U46" s="259"/>
      <c r="V46" s="259"/>
      <c r="W46" s="259"/>
      <c r="X46" s="55"/>
      <c r="Y46" s="56"/>
      <c r="Z46" s="56"/>
      <c r="AA46" s="56"/>
      <c r="AB46" s="56"/>
      <c r="AC46" s="57"/>
      <c r="AD46" s="57"/>
      <c r="AE46" s="54">
        <f>+SUMPRODUCT(AE47:AE51,AF47:AF51)</f>
        <v>0.77056226999999999</v>
      </c>
      <c r="AF46" s="54">
        <f t="shared" si="63"/>
        <v>0.26650000000000001</v>
      </c>
      <c r="AG46" s="54">
        <v>0.316</v>
      </c>
      <c r="AH46" s="249">
        <v>0.25</v>
      </c>
      <c r="AI46" s="54">
        <v>0.25</v>
      </c>
      <c r="AJ46" s="54">
        <v>0.25</v>
      </c>
      <c r="AK46" s="296">
        <f t="shared" ref="AK46:AO46" si="96">SUM(AK47:AK53)</f>
        <v>810587000</v>
      </c>
      <c r="AL46" s="296">
        <f t="shared" si="96"/>
        <v>209996298</v>
      </c>
      <c r="AM46" s="296">
        <f t="shared" si="96"/>
        <v>312053292</v>
      </c>
      <c r="AN46" s="296">
        <f t="shared" si="96"/>
        <v>632176792</v>
      </c>
      <c r="AO46" s="296">
        <f t="shared" si="96"/>
        <v>327534974</v>
      </c>
      <c r="AP46" s="59">
        <f t="shared" ref="AP46:AP51" si="97">+AO46/AK46</f>
        <v>0.40407133842511661</v>
      </c>
      <c r="AQ46" s="182"/>
      <c r="AR46" s="182"/>
      <c r="AS46" s="182"/>
      <c r="AT46" s="323">
        <f>+SUM(AT47:AT53)</f>
        <v>326358103</v>
      </c>
      <c r="AU46" s="331">
        <f t="shared" ref="AU46:AU51" si="98">+AT46/AK46</f>
        <v>0.40261946342588767</v>
      </c>
      <c r="AV46" s="310">
        <f t="shared" ref="AV46:BB46" si="99">+AV47+AV48+AV49+AV50+AV51+AV52+AV53</f>
        <v>0</v>
      </c>
      <c r="AW46" s="310">
        <f t="shared" si="99"/>
        <v>0</v>
      </c>
      <c r="AX46" s="310">
        <f t="shared" si="99"/>
        <v>0</v>
      </c>
      <c r="AY46" s="310">
        <f t="shared" si="99"/>
        <v>0</v>
      </c>
      <c r="AZ46" s="310">
        <f t="shared" si="99"/>
        <v>0</v>
      </c>
      <c r="BA46" s="310">
        <f t="shared" si="99"/>
        <v>0</v>
      </c>
      <c r="BB46" s="310">
        <f t="shared" si="99"/>
        <v>0</v>
      </c>
      <c r="BC46" s="325" t="e">
        <f>+BB46/BA46</f>
        <v>#DIV/0!</v>
      </c>
      <c r="BD46" s="300">
        <f t="shared" ref="BD46:BE46" si="100">SUM(BD47:BD53)</f>
        <v>2662707091</v>
      </c>
      <c r="BE46" s="300">
        <f t="shared" si="100"/>
        <v>1481761356</v>
      </c>
      <c r="BF46" s="325">
        <f t="shared" ref="BF46:BF52" si="101">+BE46/BD46</f>
        <v>0.55648680285127161</v>
      </c>
      <c r="BG46" s="300">
        <f>SUM(BG47:BG53)</f>
        <v>326358103</v>
      </c>
      <c r="BH46" s="325">
        <f>+BG46/BD46</f>
        <v>0.12256628004751124</v>
      </c>
      <c r="BI46" s="56"/>
      <c r="BJ46" s="350" t="s">
        <v>65</v>
      </c>
      <c r="BK46" s="350" t="s">
        <v>93</v>
      </c>
      <c r="BL46" s="350" t="s">
        <v>282</v>
      </c>
      <c r="BM46" s="62"/>
      <c r="BN46" s="62"/>
      <c r="BO46" s="62"/>
    </row>
    <row r="47" spans="1:67" ht="20.100000000000001" customHeight="1">
      <c r="A47" s="231" t="s">
        <v>228</v>
      </c>
      <c r="B47" s="230"/>
      <c r="C47" s="241" t="s">
        <v>229</v>
      </c>
      <c r="D47" s="64">
        <v>0</v>
      </c>
      <c r="E47" s="65">
        <v>100</v>
      </c>
      <c r="F47" s="220">
        <v>100</v>
      </c>
      <c r="G47" s="66">
        <v>100</v>
      </c>
      <c r="H47" s="64">
        <v>0</v>
      </c>
      <c r="I47" s="65">
        <v>99</v>
      </c>
      <c r="J47" s="67">
        <v>91.4</v>
      </c>
      <c r="K47" s="233">
        <v>71.89</v>
      </c>
      <c r="L47" s="68"/>
      <c r="M47" s="113"/>
      <c r="N47" s="113"/>
      <c r="O47" s="70">
        <v>0</v>
      </c>
      <c r="P47" s="70">
        <f t="shared" ref="P47:Q47" si="102">IF((I47+M47)/E47&gt;=100%,100%,(I47+M47)/E47)</f>
        <v>0.99</v>
      </c>
      <c r="Q47" s="70">
        <f t="shared" si="102"/>
        <v>0.91400000000000003</v>
      </c>
      <c r="R47" s="71">
        <f t="shared" ref="R47:R53" si="103">IF(K47/G47&gt;=100%,100%,K47/G47)</f>
        <v>0.71889999999999998</v>
      </c>
      <c r="S47" s="261"/>
      <c r="T47" s="261"/>
      <c r="U47" s="261"/>
      <c r="V47" s="231"/>
      <c r="W47" s="231"/>
      <c r="X47" s="72">
        <v>45230</v>
      </c>
      <c r="Y47" s="73"/>
      <c r="Z47" s="63"/>
      <c r="AA47" s="74"/>
      <c r="AB47" s="75"/>
      <c r="AC47" s="76">
        <f t="shared" ref="AC47:AC53" si="104">SUM(D47:G47)</f>
        <v>300</v>
      </c>
      <c r="AD47" s="76">
        <f t="shared" ref="AD47:AD53" si="105">SUM(H47:N47)</f>
        <v>262.29000000000002</v>
      </c>
      <c r="AE47" s="71">
        <f t="shared" ref="AE47:AE53" si="106">IF(AD47/AC47&gt;=100%,100%,AD47/AC47)</f>
        <v>0.87430000000000008</v>
      </c>
      <c r="AF47" s="54">
        <f t="shared" si="63"/>
        <v>0.25390000000000001</v>
      </c>
      <c r="AG47" s="77">
        <v>0</v>
      </c>
      <c r="AH47" s="289">
        <v>0.73</v>
      </c>
      <c r="AI47" s="70">
        <v>0.14280000000000001</v>
      </c>
      <c r="AJ47" s="70">
        <v>0.14280000000000001</v>
      </c>
      <c r="AK47" s="301">
        <v>455587000</v>
      </c>
      <c r="AL47" s="301">
        <v>0</v>
      </c>
      <c r="AM47" s="301">
        <f>255605126+23420409</f>
        <v>279025535</v>
      </c>
      <c r="AN47" s="301">
        <v>366763297</v>
      </c>
      <c r="AO47" s="301">
        <v>327534974</v>
      </c>
      <c r="AP47" s="79">
        <f t="shared" si="97"/>
        <v>0.71892958754310377</v>
      </c>
      <c r="AQ47" s="80"/>
      <c r="AR47" s="81"/>
      <c r="AS47" s="82"/>
      <c r="AT47" s="343">
        <v>326358103</v>
      </c>
      <c r="AU47" s="329">
        <f t="shared" si="98"/>
        <v>0.71634639048085214</v>
      </c>
      <c r="AV47" s="313"/>
      <c r="AW47" s="313"/>
      <c r="AX47" s="313"/>
      <c r="AY47" s="313"/>
      <c r="AZ47" s="313"/>
      <c r="BA47" s="313"/>
      <c r="BB47" s="313"/>
      <c r="BC47" s="328"/>
      <c r="BD47" s="317">
        <f>684166688+AK47</f>
        <v>1139753688</v>
      </c>
      <c r="BE47" s="312">
        <f t="shared" ref="BE47:BE53" si="107">+AL47+AM47+AN47+AO47</f>
        <v>973323806</v>
      </c>
      <c r="BF47" s="328">
        <f t="shared" si="101"/>
        <v>0.85397732531838055</v>
      </c>
      <c r="BG47" s="312">
        <f t="shared" ref="BG47:BG53" si="108">SUM(AQ47:AT47)+AX47+AZ47+BB47</f>
        <v>326358103</v>
      </c>
      <c r="BH47" s="328">
        <f t="shared" si="60"/>
        <v>0.28634090543956198</v>
      </c>
      <c r="BI47" s="85"/>
      <c r="BJ47" s="254" t="s">
        <v>81</v>
      </c>
      <c r="BK47" s="254" t="s">
        <v>83</v>
      </c>
      <c r="BL47" s="231" t="s">
        <v>230</v>
      </c>
      <c r="BM47" s="10"/>
      <c r="BN47" s="10"/>
      <c r="BO47" s="10"/>
    </row>
    <row r="48" spans="1:67" ht="30" customHeight="1">
      <c r="A48" s="231" t="s">
        <v>411</v>
      </c>
      <c r="B48" s="241" t="s">
        <v>412</v>
      </c>
      <c r="C48" s="241" t="s">
        <v>241</v>
      </c>
      <c r="D48" s="64">
        <v>2</v>
      </c>
      <c r="E48" s="65">
        <v>2</v>
      </c>
      <c r="F48" s="220">
        <v>2</v>
      </c>
      <c r="G48" s="222">
        <v>2</v>
      </c>
      <c r="H48" s="64">
        <v>2</v>
      </c>
      <c r="I48" s="65">
        <v>2</v>
      </c>
      <c r="J48" s="67">
        <v>2</v>
      </c>
      <c r="K48" s="233">
        <v>2</v>
      </c>
      <c r="L48" s="68"/>
      <c r="M48" s="113"/>
      <c r="N48" s="113"/>
      <c r="O48" s="70">
        <v>1</v>
      </c>
      <c r="P48" s="70">
        <f t="shared" ref="P48:Q48" si="109">IF((I48+M48)/E48&gt;=100%,100%,(I48+M48)/E48)</f>
        <v>1</v>
      </c>
      <c r="Q48" s="70">
        <f t="shared" si="109"/>
        <v>1</v>
      </c>
      <c r="R48" s="70">
        <f t="shared" si="103"/>
        <v>1</v>
      </c>
      <c r="S48" s="231" t="s">
        <v>413</v>
      </c>
      <c r="T48" s="256" t="s">
        <v>414</v>
      </c>
      <c r="U48" s="256" t="s">
        <v>415</v>
      </c>
      <c r="V48" s="231" t="s">
        <v>416</v>
      </c>
      <c r="W48" s="256" t="s">
        <v>417</v>
      </c>
      <c r="X48" s="72">
        <v>45230</v>
      </c>
      <c r="Y48" s="73"/>
      <c r="Z48" s="73"/>
      <c r="AA48" s="85"/>
      <c r="AB48" s="88"/>
      <c r="AC48" s="89">
        <f t="shared" si="104"/>
        <v>8</v>
      </c>
      <c r="AD48" s="89">
        <f t="shared" si="105"/>
        <v>8</v>
      </c>
      <c r="AE48" s="90">
        <f t="shared" si="106"/>
        <v>1</v>
      </c>
      <c r="AF48" s="54">
        <f t="shared" si="63"/>
        <v>7.4900000000000008E-2</v>
      </c>
      <c r="AG48" s="94">
        <v>1.4E-2</v>
      </c>
      <c r="AH48" s="284">
        <v>0</v>
      </c>
      <c r="AI48" s="84">
        <v>0.14280000000000001</v>
      </c>
      <c r="AJ48" s="70">
        <v>0.14280000000000001</v>
      </c>
      <c r="AK48" s="301">
        <v>65000000</v>
      </c>
      <c r="AL48" s="301">
        <v>0</v>
      </c>
      <c r="AM48" s="301">
        <v>0</v>
      </c>
      <c r="AN48" s="301">
        <v>89427284</v>
      </c>
      <c r="AO48" s="301">
        <v>0</v>
      </c>
      <c r="AP48" s="92">
        <f t="shared" si="97"/>
        <v>0</v>
      </c>
      <c r="AQ48" s="80"/>
      <c r="AR48" s="93"/>
      <c r="AS48" s="82"/>
      <c r="AT48" s="344">
        <v>0</v>
      </c>
      <c r="AU48" s="329">
        <f t="shared" si="98"/>
        <v>0</v>
      </c>
      <c r="AV48" s="313"/>
      <c r="AW48" s="313"/>
      <c r="AX48" s="313"/>
      <c r="AY48" s="313"/>
      <c r="AZ48" s="313"/>
      <c r="BA48" s="313"/>
      <c r="BB48" s="313"/>
      <c r="BC48" s="334"/>
      <c r="BD48" s="317">
        <f>414785497+AK48</f>
        <v>479785497</v>
      </c>
      <c r="BE48" s="312">
        <f t="shared" si="107"/>
        <v>89427284</v>
      </c>
      <c r="BF48" s="328">
        <f t="shared" si="101"/>
        <v>0.18639013592359588</v>
      </c>
      <c r="BG48" s="312">
        <f t="shared" si="108"/>
        <v>0</v>
      </c>
      <c r="BH48" s="328">
        <f t="shared" si="60"/>
        <v>0</v>
      </c>
      <c r="BI48" s="85"/>
      <c r="BJ48" s="254" t="s">
        <v>67</v>
      </c>
      <c r="BK48" s="254" t="s">
        <v>93</v>
      </c>
      <c r="BL48" s="231" t="s">
        <v>282</v>
      </c>
      <c r="BM48" s="14"/>
      <c r="BN48" s="14"/>
      <c r="BO48" s="14"/>
    </row>
    <row r="49" spans="1:67" ht="20.100000000000001" customHeight="1">
      <c r="A49" s="231" t="s">
        <v>418</v>
      </c>
      <c r="B49" s="241" t="s">
        <v>418</v>
      </c>
      <c r="C49" s="241" t="s">
        <v>241</v>
      </c>
      <c r="D49" s="64">
        <v>60</v>
      </c>
      <c r="E49" s="65">
        <v>60</v>
      </c>
      <c r="F49" s="220">
        <v>60</v>
      </c>
      <c r="G49" s="221">
        <v>60</v>
      </c>
      <c r="H49" s="64">
        <v>60</v>
      </c>
      <c r="I49" s="65">
        <v>69</v>
      </c>
      <c r="J49" s="67">
        <v>60</v>
      </c>
      <c r="K49" s="236">
        <v>45</v>
      </c>
      <c r="L49" s="68"/>
      <c r="M49" s="113"/>
      <c r="N49" s="113"/>
      <c r="O49" s="70">
        <v>0.99</v>
      </c>
      <c r="P49" s="70">
        <f t="shared" ref="P49:Q49" si="110">IF((I49+M49)/E49&gt;=100%,100%,(I49+M49)/E49)</f>
        <v>1</v>
      </c>
      <c r="Q49" s="70">
        <f t="shared" si="110"/>
        <v>1</v>
      </c>
      <c r="R49" s="71">
        <f t="shared" si="103"/>
        <v>0.75</v>
      </c>
      <c r="S49" s="265" t="s">
        <v>419</v>
      </c>
      <c r="T49" s="256" t="s">
        <v>420</v>
      </c>
      <c r="U49" s="256" t="s">
        <v>421</v>
      </c>
      <c r="V49" s="231" t="s">
        <v>422</v>
      </c>
      <c r="W49" s="256" t="s">
        <v>423</v>
      </c>
      <c r="X49" s="72">
        <v>45230</v>
      </c>
      <c r="Y49" s="73"/>
      <c r="Z49" s="63"/>
      <c r="AA49" s="74"/>
      <c r="AB49" s="75"/>
      <c r="AC49" s="76">
        <f t="shared" si="104"/>
        <v>240</v>
      </c>
      <c r="AD49" s="76">
        <f t="shared" si="105"/>
        <v>234</v>
      </c>
      <c r="AE49" s="71">
        <f t="shared" si="106"/>
        <v>0.97499999999999998</v>
      </c>
      <c r="AF49" s="54">
        <f t="shared" si="63"/>
        <v>0.16890000000000002</v>
      </c>
      <c r="AG49" s="77">
        <v>0.22</v>
      </c>
      <c r="AH49" s="285">
        <v>0.17</v>
      </c>
      <c r="AI49" s="70">
        <v>0.14280000000000001</v>
      </c>
      <c r="AJ49" s="70">
        <v>0.14280000000000001</v>
      </c>
      <c r="AK49" s="301">
        <v>10000000</v>
      </c>
      <c r="AL49" s="301">
        <v>0</v>
      </c>
      <c r="AM49" s="301">
        <v>33027757</v>
      </c>
      <c r="AN49" s="301">
        <v>45986212</v>
      </c>
      <c r="AO49" s="301">
        <v>0</v>
      </c>
      <c r="AP49" s="79">
        <f t="shared" si="97"/>
        <v>0</v>
      </c>
      <c r="AQ49" s="80"/>
      <c r="AR49" s="81"/>
      <c r="AS49" s="82"/>
      <c r="AT49" s="344">
        <v>0</v>
      </c>
      <c r="AU49" s="329">
        <f t="shared" si="98"/>
        <v>0</v>
      </c>
      <c r="AV49" s="313"/>
      <c r="AW49" s="313"/>
      <c r="AX49" s="313"/>
      <c r="AY49" s="313"/>
      <c r="AZ49" s="313"/>
      <c r="BA49" s="313"/>
      <c r="BB49" s="313"/>
      <c r="BC49" s="328"/>
      <c r="BD49" s="317">
        <f>139626865+AK49</f>
        <v>149626865</v>
      </c>
      <c r="BE49" s="312">
        <f t="shared" si="107"/>
        <v>79013969</v>
      </c>
      <c r="BF49" s="328">
        <f t="shared" si="101"/>
        <v>0.52807341114845918</v>
      </c>
      <c r="BG49" s="312">
        <f t="shared" si="108"/>
        <v>0</v>
      </c>
      <c r="BH49" s="328">
        <f t="shared" si="60"/>
        <v>0</v>
      </c>
      <c r="BI49" s="85"/>
      <c r="BJ49" s="254" t="s">
        <v>65</v>
      </c>
      <c r="BK49" s="254" t="s">
        <v>93</v>
      </c>
      <c r="BL49" s="231" t="s">
        <v>282</v>
      </c>
      <c r="BM49" s="10"/>
      <c r="BN49" s="10"/>
      <c r="BO49" s="10"/>
    </row>
    <row r="50" spans="1:67" ht="33.75" customHeight="1">
      <c r="A50" s="231" t="s">
        <v>424</v>
      </c>
      <c r="B50" s="241" t="s">
        <v>424</v>
      </c>
      <c r="C50" s="241" t="s">
        <v>241</v>
      </c>
      <c r="D50" s="64">
        <v>1</v>
      </c>
      <c r="E50" s="65">
        <v>1</v>
      </c>
      <c r="F50" s="220">
        <v>1</v>
      </c>
      <c r="G50" s="222">
        <v>1</v>
      </c>
      <c r="H50" s="64">
        <v>1</v>
      </c>
      <c r="I50" s="65">
        <v>1</v>
      </c>
      <c r="J50" s="67">
        <v>1</v>
      </c>
      <c r="K50" s="234">
        <v>1</v>
      </c>
      <c r="L50" s="68"/>
      <c r="M50" s="113"/>
      <c r="N50" s="113"/>
      <c r="O50" s="70">
        <v>0.96</v>
      </c>
      <c r="P50" s="70">
        <f t="shared" ref="P50:Q50" si="111">IF((I50+M50)/E50&gt;=100%,100%,(I50+M50)/E50)</f>
        <v>1</v>
      </c>
      <c r="Q50" s="70">
        <f t="shared" si="111"/>
        <v>1</v>
      </c>
      <c r="R50" s="70">
        <f t="shared" si="103"/>
        <v>1</v>
      </c>
      <c r="S50" s="258" t="s">
        <v>425</v>
      </c>
      <c r="T50" s="256" t="s">
        <v>426</v>
      </c>
      <c r="U50" s="256" t="s">
        <v>427</v>
      </c>
      <c r="V50" s="231" t="s">
        <v>428</v>
      </c>
      <c r="W50" s="256" t="s">
        <v>429</v>
      </c>
      <c r="X50" s="72">
        <v>45230</v>
      </c>
      <c r="Y50" s="73"/>
      <c r="Z50" s="73"/>
      <c r="AA50" s="85"/>
      <c r="AB50" s="88"/>
      <c r="AC50" s="89">
        <f t="shared" si="104"/>
        <v>4</v>
      </c>
      <c r="AD50" s="89">
        <f t="shared" si="105"/>
        <v>4</v>
      </c>
      <c r="AE50" s="90">
        <f t="shared" si="106"/>
        <v>1</v>
      </c>
      <c r="AF50" s="54">
        <f t="shared" si="63"/>
        <v>0.26140000000000002</v>
      </c>
      <c r="AG50" s="94">
        <v>0.74</v>
      </c>
      <c r="AH50" s="284">
        <v>0.02</v>
      </c>
      <c r="AI50" s="84">
        <v>0.14280000000000001</v>
      </c>
      <c r="AJ50" s="70">
        <v>0.14280000000000001</v>
      </c>
      <c r="AK50" s="301">
        <v>250000000</v>
      </c>
      <c r="AL50" s="301">
        <v>199996298</v>
      </c>
      <c r="AM50" s="301">
        <v>0</v>
      </c>
      <c r="AN50" s="301">
        <v>129999999</v>
      </c>
      <c r="AO50" s="301">
        <v>0</v>
      </c>
      <c r="AP50" s="92">
        <f t="shared" si="97"/>
        <v>0</v>
      </c>
      <c r="AQ50" s="80"/>
      <c r="AR50" s="93"/>
      <c r="AS50" s="82"/>
      <c r="AT50" s="344">
        <v>0</v>
      </c>
      <c r="AU50" s="329">
        <f t="shared" si="98"/>
        <v>0</v>
      </c>
      <c r="AV50" s="313"/>
      <c r="AW50" s="313"/>
      <c r="AX50" s="313"/>
      <c r="AY50" s="313"/>
      <c r="AZ50" s="313"/>
      <c r="BA50" s="313"/>
      <c r="BB50" s="313"/>
      <c r="BC50" s="334"/>
      <c r="BD50" s="317">
        <f>530000000+AK50</f>
        <v>780000000</v>
      </c>
      <c r="BE50" s="312">
        <f t="shared" si="107"/>
        <v>329996297</v>
      </c>
      <c r="BF50" s="328">
        <f t="shared" si="101"/>
        <v>0.42307217564102562</v>
      </c>
      <c r="BG50" s="312">
        <f t="shared" si="108"/>
        <v>0</v>
      </c>
      <c r="BH50" s="328">
        <f t="shared" si="60"/>
        <v>0</v>
      </c>
      <c r="BI50" s="85"/>
      <c r="BJ50" s="254" t="s">
        <v>65</v>
      </c>
      <c r="BK50" s="254" t="s">
        <v>92</v>
      </c>
      <c r="BL50" s="231" t="s">
        <v>335</v>
      </c>
      <c r="BM50" s="14"/>
      <c r="BN50" s="14"/>
      <c r="BO50" s="14"/>
    </row>
    <row r="51" spans="1:67" ht="33.75" customHeight="1">
      <c r="A51" s="231" t="s">
        <v>430</v>
      </c>
      <c r="B51" s="241" t="s">
        <v>431</v>
      </c>
      <c r="C51" s="241" t="s">
        <v>241</v>
      </c>
      <c r="D51" s="64">
        <v>1</v>
      </c>
      <c r="E51" s="65">
        <v>1</v>
      </c>
      <c r="F51" s="220">
        <v>2</v>
      </c>
      <c r="G51" s="221">
        <v>2</v>
      </c>
      <c r="H51" s="64">
        <v>1</v>
      </c>
      <c r="I51" s="65">
        <v>1</v>
      </c>
      <c r="J51" s="67">
        <v>1</v>
      </c>
      <c r="K51" s="234">
        <v>1</v>
      </c>
      <c r="L51" s="68"/>
      <c r="M51" s="113"/>
      <c r="N51" s="113"/>
      <c r="O51" s="70">
        <v>1</v>
      </c>
      <c r="P51" s="70">
        <f t="shared" ref="P51:Q51" si="112">IF((I51+M51)/E51&gt;=100%,100%,(I51+M51)/E51)</f>
        <v>1</v>
      </c>
      <c r="Q51" s="70">
        <f t="shared" si="112"/>
        <v>0.5</v>
      </c>
      <c r="R51" s="71">
        <f t="shared" si="103"/>
        <v>0.5</v>
      </c>
      <c r="S51" s="258" t="s">
        <v>432</v>
      </c>
      <c r="T51" s="256" t="s">
        <v>433</v>
      </c>
      <c r="U51" s="256" t="s">
        <v>434</v>
      </c>
      <c r="V51" s="231" t="s">
        <v>435</v>
      </c>
      <c r="W51" s="256" t="s">
        <v>436</v>
      </c>
      <c r="X51" s="72">
        <v>45230</v>
      </c>
      <c r="Y51" s="73"/>
      <c r="Z51" s="63"/>
      <c r="AA51" s="74"/>
      <c r="AB51" s="75"/>
      <c r="AC51" s="76">
        <f t="shared" si="104"/>
        <v>6</v>
      </c>
      <c r="AD51" s="76">
        <f t="shared" si="105"/>
        <v>4</v>
      </c>
      <c r="AE51" s="71">
        <f t="shared" si="106"/>
        <v>0.66666666666666663</v>
      </c>
      <c r="AF51" s="54">
        <f t="shared" si="63"/>
        <v>7.1400000000000005E-2</v>
      </c>
      <c r="AG51" s="77">
        <v>0</v>
      </c>
      <c r="AH51" s="285">
        <v>0</v>
      </c>
      <c r="AI51" s="70">
        <v>0.14280000000000001</v>
      </c>
      <c r="AJ51" s="70">
        <v>0.14280000000000001</v>
      </c>
      <c r="AK51" s="301">
        <v>30000000</v>
      </c>
      <c r="AL51" s="301">
        <v>0</v>
      </c>
      <c r="AM51" s="301">
        <v>0</v>
      </c>
      <c r="AN51" s="301">
        <v>0</v>
      </c>
      <c r="AO51" s="301">
        <v>0</v>
      </c>
      <c r="AP51" s="79">
        <f t="shared" si="97"/>
        <v>0</v>
      </c>
      <c r="AQ51" s="80"/>
      <c r="AR51" s="81"/>
      <c r="AS51" s="82"/>
      <c r="AT51" s="344">
        <v>0</v>
      </c>
      <c r="AU51" s="329">
        <f t="shared" si="98"/>
        <v>0</v>
      </c>
      <c r="AV51" s="313"/>
      <c r="AW51" s="313"/>
      <c r="AX51" s="313"/>
      <c r="AY51" s="313"/>
      <c r="AZ51" s="313"/>
      <c r="BA51" s="313"/>
      <c r="BB51" s="313"/>
      <c r="BC51" s="328"/>
      <c r="BD51" s="317">
        <f>54225005+AK51</f>
        <v>84225005</v>
      </c>
      <c r="BE51" s="312">
        <f t="shared" si="107"/>
        <v>0</v>
      </c>
      <c r="BF51" s="328">
        <f t="shared" si="101"/>
        <v>0</v>
      </c>
      <c r="BG51" s="312">
        <f t="shared" si="108"/>
        <v>0</v>
      </c>
      <c r="BH51" s="328">
        <f t="shared" si="60"/>
        <v>0</v>
      </c>
      <c r="BI51" s="85"/>
      <c r="BJ51" s="254" t="s">
        <v>65</v>
      </c>
      <c r="BK51" s="254" t="s">
        <v>94</v>
      </c>
      <c r="BL51" s="231" t="s">
        <v>335</v>
      </c>
      <c r="BM51" s="10"/>
      <c r="BN51" s="10"/>
      <c r="BO51" s="10"/>
    </row>
    <row r="52" spans="1:67" ht="33.75" customHeight="1">
      <c r="A52" s="231" t="s">
        <v>437</v>
      </c>
      <c r="B52" s="241" t="s">
        <v>438</v>
      </c>
      <c r="C52" s="241" t="s">
        <v>241</v>
      </c>
      <c r="D52" s="64"/>
      <c r="E52" s="65">
        <v>1</v>
      </c>
      <c r="F52" s="220">
        <v>2</v>
      </c>
      <c r="G52" s="222">
        <v>3</v>
      </c>
      <c r="H52" s="64">
        <v>0</v>
      </c>
      <c r="I52" s="65">
        <v>0</v>
      </c>
      <c r="J52" s="67">
        <v>0</v>
      </c>
      <c r="K52" s="234">
        <v>3</v>
      </c>
      <c r="L52" s="68"/>
      <c r="M52" s="113"/>
      <c r="N52" s="113"/>
      <c r="O52" s="70">
        <v>0.7</v>
      </c>
      <c r="P52" s="70">
        <f t="shared" ref="P52:Q52" si="113">IF((I52+M52)/E52&gt;=100%,100%,(I52+M52)/E52)</f>
        <v>0</v>
      </c>
      <c r="Q52" s="70">
        <f t="shared" si="113"/>
        <v>0</v>
      </c>
      <c r="R52" s="70">
        <f t="shared" si="103"/>
        <v>1</v>
      </c>
      <c r="S52" s="258"/>
      <c r="T52" s="256" t="s">
        <v>439</v>
      </c>
      <c r="U52" s="256"/>
      <c r="V52" s="231" t="s">
        <v>440</v>
      </c>
      <c r="W52" s="256" t="s">
        <v>441</v>
      </c>
      <c r="X52" s="72">
        <v>45230</v>
      </c>
      <c r="Y52" s="73"/>
      <c r="Z52" s="73"/>
      <c r="AA52" s="85"/>
      <c r="AB52" s="88"/>
      <c r="AC52" s="89">
        <f t="shared" si="104"/>
        <v>6</v>
      </c>
      <c r="AD52" s="89">
        <f t="shared" si="105"/>
        <v>3</v>
      </c>
      <c r="AE52" s="90">
        <f t="shared" si="106"/>
        <v>0.5</v>
      </c>
      <c r="AF52" s="54">
        <f t="shared" si="63"/>
        <v>9.1125000000000012E-2</v>
      </c>
      <c r="AG52" s="94">
        <v>1.89E-2</v>
      </c>
      <c r="AH52" s="284">
        <v>0.06</v>
      </c>
      <c r="AI52" s="84">
        <v>0.14280000000000001</v>
      </c>
      <c r="AJ52" s="70">
        <v>0.14280000000000001</v>
      </c>
      <c r="AK52" s="301">
        <v>0</v>
      </c>
      <c r="AL52" s="301">
        <v>10000000</v>
      </c>
      <c r="AM52" s="301">
        <v>0</v>
      </c>
      <c r="AN52" s="301">
        <v>0</v>
      </c>
      <c r="AO52" s="301">
        <v>0</v>
      </c>
      <c r="AP52" s="92">
        <v>0</v>
      </c>
      <c r="AQ52" s="80"/>
      <c r="AR52" s="93"/>
      <c r="AS52" s="82"/>
      <c r="AT52" s="344">
        <v>0</v>
      </c>
      <c r="AU52" s="329">
        <v>0</v>
      </c>
      <c r="AV52" s="313"/>
      <c r="AW52" s="313"/>
      <c r="AX52" s="313"/>
      <c r="AY52" s="313"/>
      <c r="AZ52" s="313"/>
      <c r="BA52" s="313"/>
      <c r="BB52" s="313"/>
      <c r="BC52" s="334"/>
      <c r="BD52" s="317">
        <f>29316036+AK52</f>
        <v>29316036</v>
      </c>
      <c r="BE52" s="312">
        <f t="shared" si="107"/>
        <v>10000000</v>
      </c>
      <c r="BF52" s="328">
        <f t="shared" si="101"/>
        <v>0.34111023741408969</v>
      </c>
      <c r="BG52" s="312">
        <f t="shared" si="108"/>
        <v>0</v>
      </c>
      <c r="BH52" s="328">
        <f t="shared" si="60"/>
        <v>0</v>
      </c>
      <c r="BI52" s="85"/>
      <c r="BJ52" s="254" t="s">
        <v>65</v>
      </c>
      <c r="BK52" s="254" t="s">
        <v>92</v>
      </c>
      <c r="BL52" s="231" t="s">
        <v>335</v>
      </c>
      <c r="BM52" s="14"/>
      <c r="BN52" s="14"/>
      <c r="BO52" s="14"/>
    </row>
    <row r="53" spans="1:67" ht="33.75" customHeight="1">
      <c r="A53" s="231" t="s">
        <v>442</v>
      </c>
      <c r="B53" s="241" t="s">
        <v>443</v>
      </c>
      <c r="C53" s="241" t="s">
        <v>241</v>
      </c>
      <c r="D53" s="64">
        <v>1</v>
      </c>
      <c r="E53" s="65">
        <v>2</v>
      </c>
      <c r="F53" s="220">
        <v>2</v>
      </c>
      <c r="G53" s="221">
        <v>3</v>
      </c>
      <c r="H53" s="64">
        <v>0</v>
      </c>
      <c r="I53" s="65">
        <v>1</v>
      </c>
      <c r="J53" s="67">
        <v>1</v>
      </c>
      <c r="K53" s="234">
        <v>3</v>
      </c>
      <c r="L53" s="68"/>
      <c r="M53" s="113"/>
      <c r="N53" s="113"/>
      <c r="O53" s="70">
        <f t="shared" ref="O53:Q53" si="114">IF((H53+L53)/D53&gt;=100%,100%,(H53+L53)/D53)</f>
        <v>0</v>
      </c>
      <c r="P53" s="70">
        <f t="shared" si="114"/>
        <v>0.5</v>
      </c>
      <c r="Q53" s="70">
        <f t="shared" si="114"/>
        <v>0.5</v>
      </c>
      <c r="R53" s="71">
        <f t="shared" si="103"/>
        <v>1</v>
      </c>
      <c r="S53" s="258"/>
      <c r="T53" s="256" t="s">
        <v>444</v>
      </c>
      <c r="U53" s="256" t="s">
        <v>445</v>
      </c>
      <c r="V53" s="231"/>
      <c r="W53" s="256" t="s">
        <v>446</v>
      </c>
      <c r="X53" s="72">
        <v>45230</v>
      </c>
      <c r="Y53" s="73"/>
      <c r="Z53" s="63"/>
      <c r="AA53" s="74"/>
      <c r="AB53" s="75"/>
      <c r="AC53" s="76">
        <f t="shared" si="104"/>
        <v>8</v>
      </c>
      <c r="AD53" s="76">
        <f t="shared" si="105"/>
        <v>5</v>
      </c>
      <c r="AE53" s="71">
        <f t="shared" si="106"/>
        <v>0.625</v>
      </c>
      <c r="AF53" s="54">
        <f t="shared" si="63"/>
        <v>7.1400000000000005E-2</v>
      </c>
      <c r="AG53" s="77">
        <v>0</v>
      </c>
      <c r="AH53" s="285">
        <v>0</v>
      </c>
      <c r="AI53" s="70">
        <v>0.14280000000000001</v>
      </c>
      <c r="AJ53" s="70">
        <v>0.14280000000000001</v>
      </c>
      <c r="AK53" s="301">
        <v>0</v>
      </c>
      <c r="AL53" s="301">
        <v>0</v>
      </c>
      <c r="AM53" s="301">
        <v>0</v>
      </c>
      <c r="AN53" s="301">
        <v>0</v>
      </c>
      <c r="AO53" s="301">
        <v>0</v>
      </c>
      <c r="AP53" s="79">
        <v>0</v>
      </c>
      <c r="AQ53" s="80"/>
      <c r="AR53" s="81"/>
      <c r="AS53" s="82"/>
      <c r="AT53" s="344">
        <v>0</v>
      </c>
      <c r="AU53" s="329">
        <v>0</v>
      </c>
      <c r="AV53" s="313"/>
      <c r="AW53" s="313"/>
      <c r="AX53" s="313"/>
      <c r="AY53" s="313"/>
      <c r="AZ53" s="313"/>
      <c r="BA53" s="313"/>
      <c r="BB53" s="313"/>
      <c r="BC53" s="328"/>
      <c r="BD53" s="317">
        <f>0+AK53</f>
        <v>0</v>
      </c>
      <c r="BE53" s="312">
        <f t="shared" si="107"/>
        <v>0</v>
      </c>
      <c r="BF53" s="328">
        <v>0</v>
      </c>
      <c r="BG53" s="312">
        <f t="shared" si="108"/>
        <v>0</v>
      </c>
      <c r="BH53" s="328" t="e">
        <f t="shared" si="60"/>
        <v>#DIV/0!</v>
      </c>
      <c r="BI53" s="85"/>
      <c r="BJ53" s="254" t="s">
        <v>67</v>
      </c>
      <c r="BK53" s="254" t="s">
        <v>93</v>
      </c>
      <c r="BL53" s="231" t="s">
        <v>282</v>
      </c>
      <c r="BM53" s="10"/>
      <c r="BN53" s="10"/>
      <c r="BO53" s="10"/>
    </row>
    <row r="54" spans="1:67" ht="36.75" customHeight="1">
      <c r="A54" s="195" t="s">
        <v>447</v>
      </c>
      <c r="B54" s="53"/>
      <c r="C54" s="53"/>
      <c r="D54" s="53"/>
      <c r="E54" s="53"/>
      <c r="F54" s="53"/>
      <c r="G54" s="53"/>
      <c r="H54" s="53"/>
      <c r="I54" s="53"/>
      <c r="J54" s="53"/>
      <c r="K54" s="53"/>
      <c r="L54" s="53"/>
      <c r="M54" s="53"/>
      <c r="N54" s="53"/>
      <c r="O54" s="54">
        <f>+SUMPRODUCT(O55:O63,AG55:AG63)</f>
        <v>0.99740000000000006</v>
      </c>
      <c r="P54" s="54">
        <f>+SUMPRODUCT(P55:P63,AH55:AH63)</f>
        <v>0.92819999999999991</v>
      </c>
      <c r="Q54" s="54">
        <f>+SUMPRODUCT(Q55:Q63,AI55:AI63)</f>
        <v>0.90690699999999991</v>
      </c>
      <c r="R54" s="54">
        <f>+SUMPRODUCT(R55:R63,AJ55:AJ63)</f>
        <v>0.7701581772370486</v>
      </c>
      <c r="S54" s="259"/>
      <c r="T54" s="259"/>
      <c r="U54" s="259"/>
      <c r="V54" s="259"/>
      <c r="W54" s="259"/>
      <c r="X54" s="55"/>
      <c r="Y54" s="56"/>
      <c r="Z54" s="56"/>
      <c r="AA54" s="56"/>
      <c r="AB54" s="56"/>
      <c r="AC54" s="57"/>
      <c r="AD54" s="57"/>
      <c r="AE54" s="54">
        <f>+SUMPRODUCT(AE55:AE59,AF55:AF59)</f>
        <v>0.5310950333333333</v>
      </c>
      <c r="AF54" s="54">
        <f t="shared" si="63"/>
        <v>0.26650000000000001</v>
      </c>
      <c r="AG54" s="54">
        <v>0.316</v>
      </c>
      <c r="AH54" s="249">
        <v>0.25</v>
      </c>
      <c r="AI54" s="54">
        <v>0.25</v>
      </c>
      <c r="AJ54" s="54">
        <v>0.25</v>
      </c>
      <c r="AK54" s="296">
        <f t="shared" ref="AK54:AO54" si="115">SUM(AK55:AK63)</f>
        <v>6292043566</v>
      </c>
      <c r="AL54" s="296">
        <f t="shared" si="115"/>
        <v>719595000</v>
      </c>
      <c r="AM54" s="296">
        <f t="shared" si="115"/>
        <v>4871794018</v>
      </c>
      <c r="AN54" s="296">
        <f t="shared" si="115"/>
        <v>5046849918</v>
      </c>
      <c r="AO54" s="296">
        <f t="shared" si="115"/>
        <v>5335908877</v>
      </c>
      <c r="AP54" s="59">
        <f t="shared" ref="AP54:AP55" si="116">+AO54/AK54</f>
        <v>0.84804067566114494</v>
      </c>
      <c r="AQ54" s="182"/>
      <c r="AR54" s="182"/>
      <c r="AS54" s="182"/>
      <c r="AT54" s="323">
        <f>+SUM(AT55:AT63)</f>
        <v>3829356480</v>
      </c>
      <c r="AU54" s="331">
        <f>+AT54/AK54</f>
        <v>0.60860298245430167</v>
      </c>
      <c r="AV54" s="310">
        <f t="shared" ref="AV54:BB54" si="117">+AV55+AV56+AV57+AV58+AV59+AV60+AV61</f>
        <v>0</v>
      </c>
      <c r="AW54" s="310">
        <f t="shared" si="117"/>
        <v>0</v>
      </c>
      <c r="AX54" s="310">
        <f t="shared" si="117"/>
        <v>0</v>
      </c>
      <c r="AY54" s="310">
        <f t="shared" si="117"/>
        <v>0</v>
      </c>
      <c r="AZ54" s="310">
        <f t="shared" si="117"/>
        <v>0</v>
      </c>
      <c r="BA54" s="310">
        <f t="shared" si="117"/>
        <v>0</v>
      </c>
      <c r="BB54" s="310">
        <f t="shared" si="117"/>
        <v>0</v>
      </c>
      <c r="BC54" s="325" t="e">
        <f>+BB54/BA54</f>
        <v>#DIV/0!</v>
      </c>
      <c r="BD54" s="300">
        <f t="shared" ref="BD54:BE54" si="118">SUM(BD55:BD63)</f>
        <v>17763331437</v>
      </c>
      <c r="BE54" s="300">
        <f t="shared" si="118"/>
        <v>15974147813</v>
      </c>
      <c r="BF54" s="325">
        <f t="shared" ref="BF54:BF55" si="119">+BE54/BD54</f>
        <v>0.89927657262121263</v>
      </c>
      <c r="BG54" s="300">
        <f>SUM(BG55:BG63)</f>
        <v>3829356480</v>
      </c>
      <c r="BH54" s="325">
        <f>+BG54/BD54</f>
        <v>0.21557648088599363</v>
      </c>
      <c r="BI54" s="56"/>
      <c r="BJ54" s="350" t="s">
        <v>81</v>
      </c>
      <c r="BK54" s="350" t="s">
        <v>96</v>
      </c>
      <c r="BL54" s="350" t="s">
        <v>230</v>
      </c>
      <c r="BM54" s="62"/>
      <c r="BN54" s="62"/>
      <c r="BO54" s="62"/>
    </row>
    <row r="55" spans="1:67" ht="20.100000000000001" customHeight="1">
      <c r="A55" s="231" t="s">
        <v>228</v>
      </c>
      <c r="B55" s="230"/>
      <c r="C55" s="241" t="s">
        <v>229</v>
      </c>
      <c r="D55" s="64">
        <v>0</v>
      </c>
      <c r="E55" s="65">
        <v>100</v>
      </c>
      <c r="F55" s="220">
        <v>100</v>
      </c>
      <c r="G55" s="66">
        <v>100</v>
      </c>
      <c r="H55" s="64">
        <v>0</v>
      </c>
      <c r="I55" s="65">
        <v>96</v>
      </c>
      <c r="J55" s="67">
        <v>96.7</v>
      </c>
      <c r="K55" s="233">
        <v>76.27</v>
      </c>
      <c r="L55" s="68"/>
      <c r="M55" s="113"/>
      <c r="N55" s="113"/>
      <c r="O55" s="70">
        <v>0</v>
      </c>
      <c r="P55" s="70">
        <f t="shared" ref="P55:Q55" si="120">IF((I55+M55)/E55&gt;=100%,100%,(I55+M55)/E55)</f>
        <v>0.96</v>
      </c>
      <c r="Q55" s="70">
        <f t="shared" si="120"/>
        <v>0.96700000000000008</v>
      </c>
      <c r="R55" s="71">
        <f t="shared" ref="R55:R63" si="121">IF(K55/G55&gt;=100%,100%,K55/G55)</f>
        <v>0.76269999999999993</v>
      </c>
      <c r="S55" s="261"/>
      <c r="T55" s="261"/>
      <c r="U55" s="261"/>
      <c r="V55" s="231"/>
      <c r="W55" s="231"/>
      <c r="X55" s="72">
        <v>45230</v>
      </c>
      <c r="Y55" s="73"/>
      <c r="Z55" s="63"/>
      <c r="AA55" s="74"/>
      <c r="AB55" s="75"/>
      <c r="AC55" s="76">
        <f t="shared" ref="AC55:AC63" si="122">SUM(D55:G55)</f>
        <v>300</v>
      </c>
      <c r="AD55" s="76">
        <f t="shared" ref="AD55:AD63" si="123">SUM(H55:N55)</f>
        <v>268.96999999999997</v>
      </c>
      <c r="AE55" s="71">
        <f t="shared" ref="AE55:AE63" si="124">IF(AD55/AC55&gt;=100%,100%,AD55/AC55)</f>
        <v>0.89656666666666662</v>
      </c>
      <c r="AF55" s="54">
        <f t="shared" si="63"/>
        <v>0.14299999999999999</v>
      </c>
      <c r="AG55" s="77">
        <v>0</v>
      </c>
      <c r="AH55" s="289">
        <v>0.35</v>
      </c>
      <c r="AI55" s="70">
        <v>0.111</v>
      </c>
      <c r="AJ55" s="70">
        <v>0.111</v>
      </c>
      <c r="AK55" s="301">
        <v>2190375600</v>
      </c>
      <c r="AL55" s="301">
        <v>0</v>
      </c>
      <c r="AM55" s="301">
        <f>1593090419+64865826</f>
        <v>1657956245</v>
      </c>
      <c r="AN55" s="301">
        <v>1754378618</v>
      </c>
      <c r="AO55" s="356">
        <v>1670548466</v>
      </c>
      <c r="AP55" s="79">
        <f t="shared" si="116"/>
        <v>0.7626767144411214</v>
      </c>
      <c r="AQ55" s="80"/>
      <c r="AR55" s="81"/>
      <c r="AS55" s="82"/>
      <c r="AT55" s="343">
        <v>1662548651</v>
      </c>
      <c r="AU55" s="329">
        <f>+AT55/AK55</f>
        <v>0.75902445726659851</v>
      </c>
      <c r="AV55" s="313"/>
      <c r="AW55" s="313"/>
      <c r="AX55" s="313"/>
      <c r="AY55" s="313"/>
      <c r="AZ55" s="313"/>
      <c r="BA55" s="313"/>
      <c r="BB55" s="313"/>
      <c r="BC55" s="328"/>
      <c r="BD55" s="317">
        <f>3538391179+AK55</f>
        <v>5728766779</v>
      </c>
      <c r="BE55" s="312">
        <f t="shared" ref="BE55:BE63" si="125">+AL55+AM55+AN55+AO55</f>
        <v>5082883329</v>
      </c>
      <c r="BF55" s="328">
        <f t="shared" si="119"/>
        <v>0.88725611027357199</v>
      </c>
      <c r="BG55" s="312">
        <f t="shared" ref="BG55:BG63" si="126">SUM(AQ55:AT55)+AX55+AZ55+BB55</f>
        <v>1662548651</v>
      </c>
      <c r="BH55" s="328">
        <f t="shared" si="60"/>
        <v>0.29021056627657138</v>
      </c>
      <c r="BI55" s="85"/>
      <c r="BJ55" s="254" t="s">
        <v>81</v>
      </c>
      <c r="BK55" s="254" t="s">
        <v>83</v>
      </c>
      <c r="BL55" s="231" t="s">
        <v>230</v>
      </c>
      <c r="BM55" s="10"/>
      <c r="BN55" s="10"/>
      <c r="BO55" s="10"/>
    </row>
    <row r="56" spans="1:67" ht="45" customHeight="1">
      <c r="A56" s="231" t="s">
        <v>448</v>
      </c>
      <c r="B56" s="241" t="s">
        <v>449</v>
      </c>
      <c r="C56" s="241" t="s">
        <v>241</v>
      </c>
      <c r="D56" s="64">
        <v>530</v>
      </c>
      <c r="E56" s="65">
        <v>753</v>
      </c>
      <c r="F56" s="220">
        <v>637</v>
      </c>
      <c r="G56" s="221">
        <v>637</v>
      </c>
      <c r="H56" s="64">
        <v>530</v>
      </c>
      <c r="I56" s="65">
        <v>753</v>
      </c>
      <c r="J56" s="67">
        <v>733</v>
      </c>
      <c r="K56" s="234">
        <v>549</v>
      </c>
      <c r="L56" s="68"/>
      <c r="M56" s="113"/>
      <c r="N56" s="113"/>
      <c r="O56" s="70">
        <v>1</v>
      </c>
      <c r="P56" s="70">
        <f t="shared" ref="P56:Q56" si="127">IF((I56+M56)/E56&gt;=100%,100%,(I56+M56)/E56)</f>
        <v>1</v>
      </c>
      <c r="Q56" s="70">
        <f t="shared" si="127"/>
        <v>1</v>
      </c>
      <c r="R56" s="71">
        <f t="shared" si="121"/>
        <v>0.86185243328100469</v>
      </c>
      <c r="S56" s="258" t="s">
        <v>450</v>
      </c>
      <c r="T56" s="253" t="s">
        <v>451</v>
      </c>
      <c r="U56" s="256" t="s">
        <v>452</v>
      </c>
      <c r="V56" s="231" t="s">
        <v>453</v>
      </c>
      <c r="W56" s="256" t="s">
        <v>454</v>
      </c>
      <c r="X56" s="72">
        <v>45230</v>
      </c>
      <c r="Y56" s="73"/>
      <c r="Z56" s="63"/>
      <c r="AA56" s="74"/>
      <c r="AB56" s="75"/>
      <c r="AC56" s="76">
        <f t="shared" si="122"/>
        <v>2557</v>
      </c>
      <c r="AD56" s="76">
        <f t="shared" si="123"/>
        <v>2565</v>
      </c>
      <c r="AE56" s="71">
        <f t="shared" si="124"/>
        <v>1</v>
      </c>
      <c r="AF56" s="54">
        <f t="shared" si="63"/>
        <v>5.5500000000000001E-2</v>
      </c>
      <c r="AG56" s="77">
        <v>0</v>
      </c>
      <c r="AH56" s="285">
        <v>0</v>
      </c>
      <c r="AI56" s="70">
        <v>0.111</v>
      </c>
      <c r="AJ56" s="70">
        <v>0.111</v>
      </c>
      <c r="AK56" s="301">
        <v>0</v>
      </c>
      <c r="AL56" s="301">
        <v>0</v>
      </c>
      <c r="AM56" s="301">
        <v>0</v>
      </c>
      <c r="AN56" s="301">
        <v>0</v>
      </c>
      <c r="AO56" s="301">
        <v>0</v>
      </c>
      <c r="AP56" s="79">
        <v>0</v>
      </c>
      <c r="AQ56" s="80"/>
      <c r="AR56" s="81"/>
      <c r="AS56" s="82"/>
      <c r="AT56" s="344">
        <v>0</v>
      </c>
      <c r="AU56" s="329">
        <v>0</v>
      </c>
      <c r="AV56" s="313"/>
      <c r="AW56" s="313"/>
      <c r="AX56" s="313"/>
      <c r="AY56" s="313"/>
      <c r="AZ56" s="313"/>
      <c r="BA56" s="313"/>
      <c r="BB56" s="313"/>
      <c r="BC56" s="328"/>
      <c r="BD56" s="317">
        <f>0+AK56</f>
        <v>0</v>
      </c>
      <c r="BE56" s="312">
        <f t="shared" si="125"/>
        <v>0</v>
      </c>
      <c r="BF56" s="328">
        <v>0</v>
      </c>
      <c r="BG56" s="312">
        <f t="shared" si="126"/>
        <v>0</v>
      </c>
      <c r="BH56" s="328" t="e">
        <f t="shared" si="60"/>
        <v>#DIV/0!</v>
      </c>
      <c r="BI56" s="85"/>
      <c r="BJ56" s="254" t="s">
        <v>67</v>
      </c>
      <c r="BK56" s="254" t="s">
        <v>92</v>
      </c>
      <c r="BL56" s="231" t="s">
        <v>225</v>
      </c>
      <c r="BM56" s="10"/>
      <c r="BN56" s="10"/>
      <c r="BO56" s="10"/>
    </row>
    <row r="57" spans="1:67" ht="32.25" customHeight="1">
      <c r="A57" s="231" t="s">
        <v>455</v>
      </c>
      <c r="B57" s="241" t="s">
        <v>456</v>
      </c>
      <c r="C57" s="241" t="s">
        <v>229</v>
      </c>
      <c r="D57" s="64">
        <v>40</v>
      </c>
      <c r="E57" s="65">
        <v>60</v>
      </c>
      <c r="F57" s="220">
        <v>60</v>
      </c>
      <c r="G57" s="221">
        <v>60</v>
      </c>
      <c r="H57" s="64">
        <v>40</v>
      </c>
      <c r="I57" s="65">
        <v>65</v>
      </c>
      <c r="J57" s="67">
        <v>53</v>
      </c>
      <c r="K57" s="234">
        <v>49.2</v>
      </c>
      <c r="L57" s="68"/>
      <c r="M57" s="113"/>
      <c r="N57" s="113"/>
      <c r="O57" s="70">
        <v>1</v>
      </c>
      <c r="P57" s="70">
        <f t="shared" ref="P57:Q57" si="128">IF((I57+M57)/E57&gt;=100%,100%,(I57+M57)/E57)</f>
        <v>1</v>
      </c>
      <c r="Q57" s="70">
        <f t="shared" si="128"/>
        <v>0.8833333333333333</v>
      </c>
      <c r="R57" s="71">
        <f t="shared" si="121"/>
        <v>0.82000000000000006</v>
      </c>
      <c r="S57" s="258"/>
      <c r="T57" s="253" t="s">
        <v>457</v>
      </c>
      <c r="U57" s="256" t="s">
        <v>458</v>
      </c>
      <c r="V57" s="231" t="s">
        <v>459</v>
      </c>
      <c r="W57" s="256" t="s">
        <v>460</v>
      </c>
      <c r="X57" s="72">
        <v>45230</v>
      </c>
      <c r="Y57" s="73"/>
      <c r="Z57" s="63"/>
      <c r="AA57" s="74"/>
      <c r="AB57" s="75"/>
      <c r="AC57" s="76">
        <f t="shared" si="122"/>
        <v>220</v>
      </c>
      <c r="AD57" s="76">
        <f t="shared" si="123"/>
        <v>207.2</v>
      </c>
      <c r="AE57" s="71">
        <f t="shared" si="124"/>
        <v>0.94181818181818178</v>
      </c>
      <c r="AF57" s="54">
        <f t="shared" si="63"/>
        <v>0.15922500000000001</v>
      </c>
      <c r="AG57" s="77">
        <v>0.31490000000000001</v>
      </c>
      <c r="AH57" s="285">
        <v>0.1</v>
      </c>
      <c r="AI57" s="70">
        <v>0.111</v>
      </c>
      <c r="AJ57" s="70">
        <v>0.111</v>
      </c>
      <c r="AK57" s="301">
        <v>150256967</v>
      </c>
      <c r="AL57" s="301">
        <v>247382216</v>
      </c>
      <c r="AM57" s="301">
        <v>610526604</v>
      </c>
      <c r="AN57" s="301">
        <v>969928255</v>
      </c>
      <c r="AO57" s="301">
        <v>108168967</v>
      </c>
      <c r="AP57" s="79">
        <f t="shared" ref="AP57:AP63" si="129">+AO57/AK57</f>
        <v>0.71989318804764635</v>
      </c>
      <c r="AQ57" s="80"/>
      <c r="AR57" s="81"/>
      <c r="AS57" s="82"/>
      <c r="AT57" s="343">
        <v>71453482</v>
      </c>
      <c r="AU57" s="329">
        <f t="shared" ref="AU57:AU63" si="130">+AT57/AK57</f>
        <v>0.47554188951517967</v>
      </c>
      <c r="AV57" s="313"/>
      <c r="AW57" s="313"/>
      <c r="AX57" s="313"/>
      <c r="AY57" s="313"/>
      <c r="AZ57" s="313"/>
      <c r="BA57" s="313"/>
      <c r="BB57" s="313"/>
      <c r="BC57" s="328"/>
      <c r="BD57" s="317">
        <f>2024694990+AK57</f>
        <v>2174951957</v>
      </c>
      <c r="BE57" s="312">
        <f t="shared" si="125"/>
        <v>1936006042</v>
      </c>
      <c r="BF57" s="328">
        <f t="shared" ref="BF57:BF63" si="131">+BE57/BD57</f>
        <v>0.8901373824690878</v>
      </c>
      <c r="BG57" s="312">
        <f t="shared" si="126"/>
        <v>71453482</v>
      </c>
      <c r="BH57" s="328">
        <f t="shared" si="60"/>
        <v>3.2852901311235722E-2</v>
      </c>
      <c r="BI57" s="85"/>
      <c r="BJ57" s="254" t="s">
        <v>81</v>
      </c>
      <c r="BK57" s="254" t="s">
        <v>96</v>
      </c>
      <c r="BL57" s="231" t="s">
        <v>230</v>
      </c>
      <c r="BM57" s="10"/>
      <c r="BN57" s="10"/>
      <c r="BO57" s="10"/>
    </row>
    <row r="58" spans="1:67" ht="30.75" customHeight="1">
      <c r="A58" s="231" t="s">
        <v>461</v>
      </c>
      <c r="B58" s="241" t="s">
        <v>462</v>
      </c>
      <c r="C58" s="241" t="s">
        <v>229</v>
      </c>
      <c r="D58" s="64">
        <v>60</v>
      </c>
      <c r="E58" s="65">
        <v>60</v>
      </c>
      <c r="F58" s="220">
        <v>60</v>
      </c>
      <c r="G58" s="221">
        <v>60</v>
      </c>
      <c r="H58" s="64">
        <v>60</v>
      </c>
      <c r="I58" s="65">
        <v>63</v>
      </c>
      <c r="J58" s="67">
        <v>76</v>
      </c>
      <c r="K58" s="234">
        <v>47.2</v>
      </c>
      <c r="L58" s="68"/>
      <c r="M58" s="113"/>
      <c r="N58" s="113"/>
      <c r="O58" s="70">
        <v>1</v>
      </c>
      <c r="P58" s="70">
        <f t="shared" ref="P58:Q58" si="132">IF((I58+M58)/E58&gt;=100%,100%,(I58+M58)/E58)</f>
        <v>1</v>
      </c>
      <c r="Q58" s="70">
        <f t="shared" si="132"/>
        <v>1</v>
      </c>
      <c r="R58" s="71">
        <f t="shared" si="121"/>
        <v>0.78666666666666674</v>
      </c>
      <c r="S58" s="258" t="s">
        <v>463</v>
      </c>
      <c r="T58" s="253" t="s">
        <v>464</v>
      </c>
      <c r="U58" s="256" t="s">
        <v>465</v>
      </c>
      <c r="V58" s="231" t="s">
        <v>466</v>
      </c>
      <c r="W58" s="266" t="s">
        <v>467</v>
      </c>
      <c r="X58" s="72">
        <v>45230</v>
      </c>
      <c r="Y58" s="73"/>
      <c r="Z58" s="63"/>
      <c r="AA58" s="74"/>
      <c r="AB58" s="75"/>
      <c r="AC58" s="76">
        <f t="shared" si="122"/>
        <v>240</v>
      </c>
      <c r="AD58" s="76">
        <f t="shared" si="123"/>
        <v>246.2</v>
      </c>
      <c r="AE58" s="71">
        <f t="shared" si="124"/>
        <v>1</v>
      </c>
      <c r="AF58" s="54">
        <f t="shared" si="63"/>
        <v>9.1299999999999992E-2</v>
      </c>
      <c r="AG58" s="77">
        <v>8.3199999999999996E-2</v>
      </c>
      <c r="AH58" s="285">
        <v>0.06</v>
      </c>
      <c r="AI58" s="70">
        <v>0.111</v>
      </c>
      <c r="AJ58" s="70">
        <v>0.111</v>
      </c>
      <c r="AK58" s="301">
        <v>1116809201</v>
      </c>
      <c r="AL58" s="301">
        <v>28663514</v>
      </c>
      <c r="AM58" s="301">
        <v>291835475</v>
      </c>
      <c r="AN58" s="301">
        <v>114158000</v>
      </c>
      <c r="AO58" s="301">
        <v>1017250922</v>
      </c>
      <c r="AP58" s="79">
        <f t="shared" si="129"/>
        <v>0.91085471098299087</v>
      </c>
      <c r="AQ58" s="80"/>
      <c r="AR58" s="81"/>
      <c r="AS58" s="82"/>
      <c r="AT58" s="343">
        <v>585349634</v>
      </c>
      <c r="AU58" s="329">
        <f t="shared" si="130"/>
        <v>0.5241268011365533</v>
      </c>
      <c r="AV58" s="313"/>
      <c r="AW58" s="313"/>
      <c r="AX58" s="313"/>
      <c r="AY58" s="313"/>
      <c r="AZ58" s="313"/>
      <c r="BA58" s="313"/>
      <c r="BB58" s="313"/>
      <c r="BC58" s="328"/>
      <c r="BD58" s="317">
        <f>520663311+AK58</f>
        <v>1637472512</v>
      </c>
      <c r="BE58" s="312">
        <f t="shared" si="125"/>
        <v>1451907911</v>
      </c>
      <c r="BF58" s="328">
        <f t="shared" si="131"/>
        <v>0.88667620394228641</v>
      </c>
      <c r="BG58" s="312">
        <f t="shared" si="126"/>
        <v>585349634</v>
      </c>
      <c r="BH58" s="328">
        <f t="shared" si="60"/>
        <v>0.35747142606079974</v>
      </c>
      <c r="BI58" s="85"/>
      <c r="BJ58" s="254" t="s">
        <v>81</v>
      </c>
      <c r="BK58" s="254" t="s">
        <v>95</v>
      </c>
      <c r="BL58" s="231" t="s">
        <v>230</v>
      </c>
      <c r="BM58" s="10"/>
      <c r="BN58" s="10"/>
      <c r="BO58" s="10"/>
    </row>
    <row r="59" spans="1:67" ht="36" customHeight="1">
      <c r="A59" s="231" t="s">
        <v>468</v>
      </c>
      <c r="B59" s="241" t="s">
        <v>469</v>
      </c>
      <c r="C59" s="241" t="s">
        <v>229</v>
      </c>
      <c r="D59" s="64">
        <v>50</v>
      </c>
      <c r="E59" s="65">
        <v>60</v>
      </c>
      <c r="F59" s="220">
        <v>60</v>
      </c>
      <c r="G59" s="221">
        <v>60</v>
      </c>
      <c r="H59" s="64">
        <v>50</v>
      </c>
      <c r="I59" s="65">
        <v>77</v>
      </c>
      <c r="J59" s="67">
        <v>73</v>
      </c>
      <c r="K59" s="234">
        <v>60</v>
      </c>
      <c r="L59" s="68"/>
      <c r="M59" s="113"/>
      <c r="N59" s="113"/>
      <c r="O59" s="70">
        <v>1</v>
      </c>
      <c r="P59" s="70">
        <f t="shared" ref="P59:Q59" si="133">IF((I59+M59)/E59&gt;=100%,100%,(I59+M59)/E59)</f>
        <v>1</v>
      </c>
      <c r="Q59" s="70">
        <f t="shared" si="133"/>
        <v>1</v>
      </c>
      <c r="R59" s="71">
        <f t="shared" si="121"/>
        <v>1</v>
      </c>
      <c r="S59" s="258"/>
      <c r="T59" s="253" t="s">
        <v>470</v>
      </c>
      <c r="U59" s="256" t="s">
        <v>471</v>
      </c>
      <c r="V59" s="231" t="s">
        <v>472</v>
      </c>
      <c r="W59" s="256" t="s">
        <v>473</v>
      </c>
      <c r="X59" s="72">
        <v>45230</v>
      </c>
      <c r="Y59" s="73"/>
      <c r="Z59" s="63"/>
      <c r="AA59" s="74"/>
      <c r="AB59" s="75"/>
      <c r="AC59" s="76">
        <f t="shared" si="122"/>
        <v>230</v>
      </c>
      <c r="AD59" s="76">
        <f t="shared" si="123"/>
        <v>260</v>
      </c>
      <c r="AE59" s="71">
        <f t="shared" si="124"/>
        <v>1</v>
      </c>
      <c r="AF59" s="54">
        <f t="shared" si="63"/>
        <v>0.106125</v>
      </c>
      <c r="AG59" s="77">
        <v>0.1125</v>
      </c>
      <c r="AH59" s="285">
        <v>0.09</v>
      </c>
      <c r="AI59" s="70">
        <v>0.111</v>
      </c>
      <c r="AJ59" s="70">
        <v>0.111</v>
      </c>
      <c r="AK59" s="301">
        <v>181770300</v>
      </c>
      <c r="AL59" s="301">
        <v>155055752</v>
      </c>
      <c r="AM59" s="301">
        <v>421753366</v>
      </c>
      <c r="AN59" s="301">
        <v>210840000</v>
      </c>
      <c r="AO59" s="301">
        <v>151770300</v>
      </c>
      <c r="AP59" s="79">
        <f t="shared" si="129"/>
        <v>0.83495653580370388</v>
      </c>
      <c r="AQ59" s="80"/>
      <c r="AR59" s="81"/>
      <c r="AS59" s="82"/>
      <c r="AT59" s="343">
        <v>50850000</v>
      </c>
      <c r="AU59" s="329">
        <f t="shared" si="130"/>
        <v>0.27974867181272189</v>
      </c>
      <c r="AV59" s="313"/>
      <c r="AW59" s="313"/>
      <c r="AX59" s="313"/>
      <c r="AY59" s="313"/>
      <c r="AZ59" s="313"/>
      <c r="BA59" s="313"/>
      <c r="BB59" s="313"/>
      <c r="BC59" s="328"/>
      <c r="BD59" s="317">
        <f>808541356+AK59</f>
        <v>990311656</v>
      </c>
      <c r="BE59" s="312">
        <f t="shared" si="125"/>
        <v>939419418</v>
      </c>
      <c r="BF59" s="328">
        <f t="shared" si="131"/>
        <v>0.94860987680831654</v>
      </c>
      <c r="BG59" s="312">
        <f t="shared" si="126"/>
        <v>50850000</v>
      </c>
      <c r="BH59" s="328">
        <f t="shared" si="60"/>
        <v>5.1347471971995046E-2</v>
      </c>
      <c r="BI59" s="85"/>
      <c r="BJ59" s="254" t="s">
        <v>81</v>
      </c>
      <c r="BK59" s="254" t="s">
        <v>97</v>
      </c>
      <c r="BL59" s="231" t="s">
        <v>230</v>
      </c>
      <c r="BM59" s="10"/>
      <c r="BN59" s="10"/>
      <c r="BO59" s="10"/>
    </row>
    <row r="60" spans="1:67" ht="35.25" customHeight="1">
      <c r="A60" s="231" t="s">
        <v>474</v>
      </c>
      <c r="B60" s="241" t="s">
        <v>475</v>
      </c>
      <c r="C60" s="241" t="s">
        <v>241</v>
      </c>
      <c r="D60" s="64">
        <v>30</v>
      </c>
      <c r="E60" s="65">
        <v>50</v>
      </c>
      <c r="F60" s="220">
        <v>50</v>
      </c>
      <c r="G60" s="221">
        <v>70</v>
      </c>
      <c r="H60" s="64">
        <v>30</v>
      </c>
      <c r="I60" s="65">
        <v>50</v>
      </c>
      <c r="J60" s="67">
        <v>41</v>
      </c>
      <c r="K60" s="236">
        <v>4</v>
      </c>
      <c r="L60" s="68"/>
      <c r="M60" s="113"/>
      <c r="N60" s="113"/>
      <c r="O60" s="70">
        <v>1</v>
      </c>
      <c r="P60" s="70">
        <f t="shared" ref="P60:Q60" si="134">IF((I60+M60)/E60&gt;=100%,100%,(I60+M60)/E60)</f>
        <v>1</v>
      </c>
      <c r="Q60" s="70">
        <f t="shared" si="134"/>
        <v>0.82</v>
      </c>
      <c r="R60" s="71">
        <f t="shared" si="121"/>
        <v>5.7142857142857141E-2</v>
      </c>
      <c r="S60" s="265" t="s">
        <v>476</v>
      </c>
      <c r="T60" s="253" t="s">
        <v>477</v>
      </c>
      <c r="U60" s="256" t="s">
        <v>478</v>
      </c>
      <c r="V60" s="231" t="s">
        <v>479</v>
      </c>
      <c r="W60" s="256" t="s">
        <v>480</v>
      </c>
      <c r="X60" s="72">
        <v>45230</v>
      </c>
      <c r="Y60" s="73"/>
      <c r="Z60" s="63"/>
      <c r="AA60" s="74"/>
      <c r="AB60" s="75"/>
      <c r="AC60" s="76">
        <f t="shared" si="122"/>
        <v>200</v>
      </c>
      <c r="AD60" s="76">
        <f t="shared" si="123"/>
        <v>125</v>
      </c>
      <c r="AE60" s="71">
        <f t="shared" si="124"/>
        <v>0.625</v>
      </c>
      <c r="AF60" s="54">
        <f t="shared" si="63"/>
        <v>6.9474999999999995E-2</v>
      </c>
      <c r="AG60" s="77">
        <v>3.5900000000000001E-2</v>
      </c>
      <c r="AH60" s="285">
        <v>0.02</v>
      </c>
      <c r="AI60" s="70">
        <v>0.111</v>
      </c>
      <c r="AJ60" s="70">
        <v>0.111</v>
      </c>
      <c r="AK60" s="301">
        <v>255376092</v>
      </c>
      <c r="AL60" s="301">
        <v>22979873</v>
      </c>
      <c r="AM60" s="301">
        <v>76456813</v>
      </c>
      <c r="AN60" s="301">
        <v>312674922</v>
      </c>
      <c r="AO60" s="301">
        <v>255710092</v>
      </c>
      <c r="AP60" s="79">
        <f t="shared" si="129"/>
        <v>1.0013078749752347</v>
      </c>
      <c r="AQ60" s="80"/>
      <c r="AR60" s="81"/>
      <c r="AS60" s="82"/>
      <c r="AT60" s="343">
        <v>211769498</v>
      </c>
      <c r="AU60" s="329">
        <f t="shared" si="130"/>
        <v>0.82924558967720441</v>
      </c>
      <c r="AV60" s="313"/>
      <c r="AW60" s="313"/>
      <c r="AX60" s="313"/>
      <c r="AY60" s="313"/>
      <c r="AZ60" s="313"/>
      <c r="BA60" s="313"/>
      <c r="BB60" s="313"/>
      <c r="BC60" s="328"/>
      <c r="BD60" s="317">
        <f>438649524+AK60</f>
        <v>694025616</v>
      </c>
      <c r="BE60" s="312">
        <f t="shared" si="125"/>
        <v>667821700</v>
      </c>
      <c r="BF60" s="328">
        <f t="shared" si="131"/>
        <v>0.96224358957955236</v>
      </c>
      <c r="BG60" s="312">
        <f t="shared" si="126"/>
        <v>211769498</v>
      </c>
      <c r="BH60" s="328">
        <f t="shared" si="60"/>
        <v>0.30513210624779014</v>
      </c>
      <c r="BI60" s="85"/>
      <c r="BJ60" s="254" t="s">
        <v>67</v>
      </c>
      <c r="BK60" s="254" t="s">
        <v>96</v>
      </c>
      <c r="BL60" s="231" t="s">
        <v>230</v>
      </c>
      <c r="BM60" s="10"/>
      <c r="BN60" s="10"/>
      <c r="BO60" s="10"/>
    </row>
    <row r="61" spans="1:67" ht="54.75" customHeight="1">
      <c r="A61" s="231" t="s">
        <v>481</v>
      </c>
      <c r="B61" s="241" t="s">
        <v>482</v>
      </c>
      <c r="C61" s="241" t="s">
        <v>229</v>
      </c>
      <c r="D61" s="64">
        <v>100</v>
      </c>
      <c r="E61" s="65">
        <v>100</v>
      </c>
      <c r="F61" s="220">
        <v>100</v>
      </c>
      <c r="G61" s="221">
        <v>100</v>
      </c>
      <c r="H61" s="64">
        <v>100</v>
      </c>
      <c r="I61" s="65">
        <v>85</v>
      </c>
      <c r="J61" s="67">
        <v>100</v>
      </c>
      <c r="K61" s="234">
        <v>65</v>
      </c>
      <c r="L61" s="68"/>
      <c r="M61" s="113"/>
      <c r="N61" s="113"/>
      <c r="O61" s="70">
        <v>1</v>
      </c>
      <c r="P61" s="70">
        <f t="shared" ref="P61:Q61" si="135">IF((I61+M61)/E61&gt;=100%,100%,(I61+M61)/E61)</f>
        <v>0.85</v>
      </c>
      <c r="Q61" s="70">
        <f t="shared" si="135"/>
        <v>1</v>
      </c>
      <c r="R61" s="71">
        <f t="shared" si="121"/>
        <v>0.65</v>
      </c>
      <c r="S61" s="256"/>
      <c r="T61" s="256" t="s">
        <v>483</v>
      </c>
      <c r="U61" s="256" t="s">
        <v>484</v>
      </c>
      <c r="V61" s="231" t="s">
        <v>485</v>
      </c>
      <c r="W61" s="267" t="s">
        <v>486</v>
      </c>
      <c r="X61" s="72">
        <v>45230</v>
      </c>
      <c r="Y61" s="73"/>
      <c r="Z61" s="63"/>
      <c r="AA61" s="74"/>
      <c r="AB61" s="75"/>
      <c r="AC61" s="76">
        <f t="shared" si="122"/>
        <v>400</v>
      </c>
      <c r="AD61" s="76">
        <f t="shared" si="123"/>
        <v>350</v>
      </c>
      <c r="AE61" s="71">
        <f t="shared" si="124"/>
        <v>0.875</v>
      </c>
      <c r="AF61" s="54">
        <f t="shared" si="63"/>
        <v>0.19735</v>
      </c>
      <c r="AG61" s="77">
        <v>0.30740000000000001</v>
      </c>
      <c r="AH61" s="285">
        <v>0.26</v>
      </c>
      <c r="AI61" s="70">
        <v>0.111</v>
      </c>
      <c r="AJ61" s="70">
        <v>0.111</v>
      </c>
      <c r="AK61" s="301">
        <v>1239947744</v>
      </c>
      <c r="AL61" s="301">
        <v>164048147</v>
      </c>
      <c r="AM61" s="301">
        <v>1270349736</v>
      </c>
      <c r="AN61" s="301">
        <v>1067654605</v>
      </c>
      <c r="AO61" s="301">
        <v>974952468</v>
      </c>
      <c r="AP61" s="79">
        <f t="shared" si="129"/>
        <v>0.78628512589962829</v>
      </c>
      <c r="AQ61" s="80"/>
      <c r="AR61" s="81"/>
      <c r="AS61" s="82"/>
      <c r="AT61" s="343">
        <v>486640243</v>
      </c>
      <c r="AU61" s="329">
        <f t="shared" si="130"/>
        <v>0.39246834824677901</v>
      </c>
      <c r="AV61" s="313"/>
      <c r="AW61" s="313"/>
      <c r="AX61" s="313"/>
      <c r="AY61" s="313"/>
      <c r="AZ61" s="313"/>
      <c r="BA61" s="313"/>
      <c r="BB61" s="313"/>
      <c r="BC61" s="328"/>
      <c r="BD61" s="317">
        <f>2762656261+AK61</f>
        <v>4002604005</v>
      </c>
      <c r="BE61" s="312">
        <f t="shared" si="125"/>
        <v>3477004956</v>
      </c>
      <c r="BF61" s="328">
        <f t="shared" si="131"/>
        <v>0.868685723508139</v>
      </c>
      <c r="BG61" s="312">
        <f t="shared" si="126"/>
        <v>486640243</v>
      </c>
      <c r="BH61" s="328">
        <f t="shared" si="60"/>
        <v>0.12158091142468638</v>
      </c>
      <c r="BI61" s="85"/>
      <c r="BJ61" s="254" t="s">
        <v>67</v>
      </c>
      <c r="BK61" s="254" t="s">
        <v>92</v>
      </c>
      <c r="BL61" s="231" t="s">
        <v>230</v>
      </c>
      <c r="BM61" s="10"/>
      <c r="BN61" s="10"/>
      <c r="BO61" s="10"/>
    </row>
    <row r="62" spans="1:67" ht="35.25" customHeight="1">
      <c r="A62" s="231" t="s">
        <v>487</v>
      </c>
      <c r="B62" s="241" t="s">
        <v>488</v>
      </c>
      <c r="C62" s="241" t="s">
        <v>241</v>
      </c>
      <c r="D62" s="64">
        <v>200</v>
      </c>
      <c r="E62" s="65">
        <v>200</v>
      </c>
      <c r="F62" s="220">
        <v>200</v>
      </c>
      <c r="G62" s="221">
        <v>200</v>
      </c>
      <c r="H62" s="64">
        <v>200</v>
      </c>
      <c r="I62" s="65">
        <v>184</v>
      </c>
      <c r="J62" s="67">
        <v>200</v>
      </c>
      <c r="K62" s="236">
        <v>283</v>
      </c>
      <c r="L62" s="68"/>
      <c r="M62" s="113"/>
      <c r="N62" s="113"/>
      <c r="O62" s="70">
        <v>1</v>
      </c>
      <c r="P62" s="70">
        <f t="shared" ref="P62:Q62" si="136">IF((I62+M62)/E62&gt;=100%,100%,(I62+M62)/E62)</f>
        <v>0.92</v>
      </c>
      <c r="Q62" s="70">
        <f t="shared" si="136"/>
        <v>1</v>
      </c>
      <c r="R62" s="71">
        <f t="shared" si="121"/>
        <v>1</v>
      </c>
      <c r="S62" s="265" t="s">
        <v>489</v>
      </c>
      <c r="T62" s="253" t="s">
        <v>490</v>
      </c>
      <c r="U62" s="256" t="s">
        <v>491</v>
      </c>
      <c r="V62" s="231" t="s">
        <v>492</v>
      </c>
      <c r="W62" s="256" t="s">
        <v>493</v>
      </c>
      <c r="X62" s="72">
        <v>45230</v>
      </c>
      <c r="Y62" s="73"/>
      <c r="Z62" s="63"/>
      <c r="AA62" s="74"/>
      <c r="AB62" s="75"/>
      <c r="AC62" s="76">
        <f t="shared" si="122"/>
        <v>800</v>
      </c>
      <c r="AD62" s="76">
        <f t="shared" si="123"/>
        <v>867</v>
      </c>
      <c r="AE62" s="71">
        <f t="shared" si="124"/>
        <v>1</v>
      </c>
      <c r="AF62" s="54">
        <f t="shared" si="63"/>
        <v>0.1105</v>
      </c>
      <c r="AG62" s="77">
        <v>0.11</v>
      </c>
      <c r="AH62" s="285">
        <v>0.11</v>
      </c>
      <c r="AI62" s="70">
        <v>0.111</v>
      </c>
      <c r="AJ62" s="70">
        <v>0.111</v>
      </c>
      <c r="AK62" s="301">
        <v>1110820056</v>
      </c>
      <c r="AL62" s="301">
        <v>74731545</v>
      </c>
      <c r="AM62" s="301">
        <v>542915779</v>
      </c>
      <c r="AN62" s="301">
        <v>544765518</v>
      </c>
      <c r="AO62" s="301">
        <v>1110820056</v>
      </c>
      <c r="AP62" s="79">
        <f t="shared" si="129"/>
        <v>1</v>
      </c>
      <c r="AQ62" s="80"/>
      <c r="AR62" s="81"/>
      <c r="AS62" s="82"/>
      <c r="AT62" s="343">
        <v>743306872</v>
      </c>
      <c r="AU62" s="329">
        <f t="shared" si="130"/>
        <v>0.66915146875958098</v>
      </c>
      <c r="AV62" s="313"/>
      <c r="AW62" s="313"/>
      <c r="AX62" s="313"/>
      <c r="AY62" s="313"/>
      <c r="AZ62" s="313"/>
      <c r="BA62" s="313"/>
      <c r="BB62" s="313"/>
      <c r="BC62" s="328"/>
      <c r="BD62" s="317">
        <f>1269507297+AK62</f>
        <v>2380327353</v>
      </c>
      <c r="BE62" s="312">
        <f t="shared" si="125"/>
        <v>2273232898</v>
      </c>
      <c r="BF62" s="328">
        <f t="shared" si="131"/>
        <v>0.95500851810780329</v>
      </c>
      <c r="BG62" s="312">
        <f t="shared" si="126"/>
        <v>743306872</v>
      </c>
      <c r="BH62" s="328">
        <f t="shared" si="60"/>
        <v>0.31227086100707424</v>
      </c>
      <c r="BI62" s="85"/>
      <c r="BJ62" s="254" t="s">
        <v>65</v>
      </c>
      <c r="BK62" s="254" t="s">
        <v>93</v>
      </c>
      <c r="BL62" s="231" t="s">
        <v>282</v>
      </c>
      <c r="BM62" s="10"/>
      <c r="BN62" s="10"/>
      <c r="BO62" s="10"/>
    </row>
    <row r="63" spans="1:67" ht="35.25" customHeight="1">
      <c r="A63" s="231" t="s">
        <v>494</v>
      </c>
      <c r="B63" s="241" t="s">
        <v>495</v>
      </c>
      <c r="C63" s="241" t="s">
        <v>241</v>
      </c>
      <c r="D63" s="64">
        <v>2</v>
      </c>
      <c r="E63" s="65">
        <v>2</v>
      </c>
      <c r="F63" s="220">
        <v>2</v>
      </c>
      <c r="G63" s="221">
        <v>2</v>
      </c>
      <c r="H63" s="64">
        <v>2</v>
      </c>
      <c r="I63" s="65">
        <v>2</v>
      </c>
      <c r="J63" s="67">
        <v>1</v>
      </c>
      <c r="K63" s="234">
        <v>2</v>
      </c>
      <c r="L63" s="68"/>
      <c r="M63" s="113"/>
      <c r="N63" s="113"/>
      <c r="O63" s="70">
        <v>1</v>
      </c>
      <c r="P63" s="70">
        <f t="shared" ref="P63:Q63" si="137">IF((I63+M63)/E63&gt;=100%,100%,(I63+M63)/E63)</f>
        <v>1</v>
      </c>
      <c r="Q63" s="70">
        <f t="shared" si="137"/>
        <v>0.5</v>
      </c>
      <c r="R63" s="71">
        <f t="shared" si="121"/>
        <v>1</v>
      </c>
      <c r="S63" s="258" t="s">
        <v>496</v>
      </c>
      <c r="T63" s="253" t="s">
        <v>497</v>
      </c>
      <c r="U63" s="256" t="s">
        <v>498</v>
      </c>
      <c r="V63" s="231" t="s">
        <v>499</v>
      </c>
      <c r="W63" s="256" t="s">
        <v>500</v>
      </c>
      <c r="X63" s="72">
        <v>45230</v>
      </c>
      <c r="Y63" s="73"/>
      <c r="Z63" s="63"/>
      <c r="AA63" s="74"/>
      <c r="AB63" s="75"/>
      <c r="AC63" s="76">
        <f t="shared" si="122"/>
        <v>8</v>
      </c>
      <c r="AD63" s="76">
        <f t="shared" si="123"/>
        <v>7</v>
      </c>
      <c r="AE63" s="71">
        <f t="shared" si="124"/>
        <v>0.875</v>
      </c>
      <c r="AF63" s="54">
        <f t="shared" si="63"/>
        <v>6.3875000000000001E-2</v>
      </c>
      <c r="AG63" s="77">
        <v>3.3500000000000002E-2</v>
      </c>
      <c r="AH63" s="285">
        <v>0</v>
      </c>
      <c r="AI63" s="70">
        <v>0.111</v>
      </c>
      <c r="AJ63" s="70">
        <v>0.111</v>
      </c>
      <c r="AK63" s="301">
        <v>46687606</v>
      </c>
      <c r="AL63" s="301">
        <v>26733953</v>
      </c>
      <c r="AM63" s="301">
        <v>0</v>
      </c>
      <c r="AN63" s="301">
        <v>72450000</v>
      </c>
      <c r="AO63" s="301">
        <v>46687606</v>
      </c>
      <c r="AP63" s="79">
        <f t="shared" si="129"/>
        <v>1</v>
      </c>
      <c r="AQ63" s="80"/>
      <c r="AR63" s="81"/>
      <c r="AS63" s="82"/>
      <c r="AT63" s="343">
        <v>17438100</v>
      </c>
      <c r="AU63" s="329">
        <f t="shared" si="130"/>
        <v>0.37350597929566148</v>
      </c>
      <c r="AV63" s="313"/>
      <c r="AW63" s="313"/>
      <c r="AX63" s="313"/>
      <c r="AY63" s="313"/>
      <c r="AZ63" s="313"/>
      <c r="BA63" s="313"/>
      <c r="BB63" s="313"/>
      <c r="BC63" s="328"/>
      <c r="BD63" s="317">
        <f>108183953+AK63</f>
        <v>154871559</v>
      </c>
      <c r="BE63" s="312">
        <f t="shared" si="125"/>
        <v>145871559</v>
      </c>
      <c r="BF63" s="328">
        <f t="shared" si="131"/>
        <v>0.94188732871217495</v>
      </c>
      <c r="BG63" s="312">
        <f t="shared" si="126"/>
        <v>17438100</v>
      </c>
      <c r="BH63" s="328">
        <f t="shared" si="60"/>
        <v>0.11259717479824685</v>
      </c>
      <c r="BI63" s="85"/>
      <c r="BJ63" s="254" t="s">
        <v>67</v>
      </c>
      <c r="BK63" s="254" t="s">
        <v>89</v>
      </c>
      <c r="BL63" s="231" t="s">
        <v>230</v>
      </c>
      <c r="BM63" s="10"/>
      <c r="BN63" s="10"/>
      <c r="BO63" s="10"/>
    </row>
    <row r="64" spans="1:67" ht="20.100000000000001" customHeight="1">
      <c r="A64" s="31" t="s">
        <v>501</v>
      </c>
      <c r="B64" s="32"/>
      <c r="C64" s="133"/>
      <c r="D64" s="33"/>
      <c r="E64" s="34"/>
      <c r="F64" s="34"/>
      <c r="G64" s="34"/>
      <c r="H64" s="34"/>
      <c r="I64" s="34"/>
      <c r="J64" s="34"/>
      <c r="K64" s="34"/>
      <c r="L64" s="34"/>
      <c r="M64" s="34"/>
      <c r="N64" s="34"/>
      <c r="O64" s="36"/>
      <c r="P64" s="36"/>
      <c r="Q64" s="36"/>
      <c r="R64" s="35">
        <f>+R65</f>
        <v>0.84644520000000001</v>
      </c>
      <c r="S64" s="262"/>
      <c r="T64" s="262"/>
      <c r="U64" s="262"/>
      <c r="V64" s="262"/>
      <c r="W64" s="262"/>
      <c r="X64" s="36"/>
      <c r="Y64" s="36"/>
      <c r="Z64" s="36"/>
      <c r="AA64" s="36"/>
      <c r="AB64" s="36"/>
      <c r="AC64" s="37"/>
      <c r="AD64" s="37"/>
      <c r="AE64" s="35"/>
      <c r="AF64" s="35"/>
      <c r="AG64" s="35"/>
      <c r="AH64" s="286"/>
      <c r="AI64" s="35"/>
      <c r="AJ64" s="35"/>
      <c r="AK64" s="302"/>
      <c r="AL64" s="302"/>
      <c r="AM64" s="302"/>
      <c r="AN64" s="302"/>
      <c r="AO64" s="302"/>
      <c r="AP64" s="38"/>
      <c r="AQ64" s="39"/>
      <c r="AR64" s="39"/>
      <c r="AS64" s="39"/>
      <c r="AT64" s="335"/>
      <c r="AU64" s="339"/>
      <c r="AV64" s="316"/>
      <c r="AW64" s="316"/>
      <c r="AX64" s="316"/>
      <c r="AY64" s="316"/>
      <c r="AZ64" s="316"/>
      <c r="BA64" s="316"/>
      <c r="BB64" s="316"/>
      <c r="BC64" s="337"/>
      <c r="BD64" s="298"/>
      <c r="BE64" s="298"/>
      <c r="BF64" s="338"/>
      <c r="BG64" s="298"/>
      <c r="BH64" s="338"/>
      <c r="BI64" s="33"/>
      <c r="BJ64" s="348"/>
      <c r="BK64" s="348"/>
      <c r="BL64" s="348"/>
      <c r="BM64" s="10"/>
      <c r="BN64" s="10"/>
      <c r="BO64" s="10"/>
    </row>
    <row r="65" spans="1:67" ht="26.25" customHeight="1">
      <c r="A65" s="114" t="s">
        <v>502</v>
      </c>
      <c r="B65" s="43"/>
      <c r="C65" s="44"/>
      <c r="D65" s="49"/>
      <c r="E65" s="46"/>
      <c r="F65" s="46"/>
      <c r="G65" s="46"/>
      <c r="H65" s="46"/>
      <c r="I65" s="46"/>
      <c r="J65" s="46"/>
      <c r="K65" s="46"/>
      <c r="L65" s="46"/>
      <c r="M65" s="46"/>
      <c r="N65" s="46"/>
      <c r="O65" s="47">
        <f>+(O67*AG67)+(O75*AG75)</f>
        <v>0.96711355799999987</v>
      </c>
      <c r="P65" s="47">
        <f>+(P67*AH67)+(P75*AH75)</f>
        <v>0.92879999999999996</v>
      </c>
      <c r="Q65" s="47">
        <f>+(Q67*AI67)+(Q75*AI75)</f>
        <v>0.84333659999999999</v>
      </c>
      <c r="R65" s="47">
        <f>+(R67*AJ67)+(R75*AJ75)</f>
        <v>0.84644520000000001</v>
      </c>
      <c r="S65" s="263"/>
      <c r="T65" s="263"/>
      <c r="U65" s="263"/>
      <c r="V65" s="263"/>
      <c r="W65" s="263"/>
      <c r="X65" s="106"/>
      <c r="Y65" s="49"/>
      <c r="Z65" s="49"/>
      <c r="AA65" s="49"/>
      <c r="AB65" s="49"/>
      <c r="AC65" s="108"/>
      <c r="AD65" s="108"/>
      <c r="AE65" s="47">
        <f>+AE66</f>
        <v>0.90409338835968178</v>
      </c>
      <c r="AF65" s="47"/>
      <c r="AG65" s="47"/>
      <c r="AH65" s="248"/>
      <c r="AI65" s="47"/>
      <c r="AJ65" s="47"/>
      <c r="AK65" s="304">
        <f t="shared" ref="AK65:AO65" si="138">+AK67+AK75</f>
        <v>10178606261</v>
      </c>
      <c r="AL65" s="304">
        <f t="shared" si="138"/>
        <v>4021179809</v>
      </c>
      <c r="AM65" s="304">
        <f t="shared" si="138"/>
        <v>14896358964</v>
      </c>
      <c r="AN65" s="304">
        <f t="shared" si="138"/>
        <v>8611350887</v>
      </c>
      <c r="AO65" s="304">
        <f t="shared" si="138"/>
        <v>8811660020</v>
      </c>
      <c r="AP65" s="50">
        <f t="shared" ref="AP65:AP71" si="139">+AO65/AK65</f>
        <v>0.8657039867788634</v>
      </c>
      <c r="AQ65" s="115">
        <f t="shared" ref="AQ65:AS65" si="140">+AQ67+AQ75</f>
        <v>0</v>
      </c>
      <c r="AR65" s="115">
        <f t="shared" si="140"/>
        <v>0</v>
      </c>
      <c r="AS65" s="115">
        <f t="shared" si="140"/>
        <v>0</v>
      </c>
      <c r="AT65" s="340">
        <f>+AT66</f>
        <v>4925057048</v>
      </c>
      <c r="AU65" s="341">
        <f t="shared" ref="AU65:AU71" si="141">+AT65/AK65</f>
        <v>0.483863597992849</v>
      </c>
      <c r="AV65" s="308">
        <f t="shared" ref="AV65:BB65" si="142">+AV67+AV75</f>
        <v>0</v>
      </c>
      <c r="AW65" s="308">
        <f t="shared" si="142"/>
        <v>0</v>
      </c>
      <c r="AX65" s="308">
        <f t="shared" si="142"/>
        <v>0</v>
      </c>
      <c r="AY65" s="308">
        <f t="shared" si="142"/>
        <v>0</v>
      </c>
      <c r="AZ65" s="308">
        <f t="shared" si="142"/>
        <v>0</v>
      </c>
      <c r="BA65" s="308">
        <f t="shared" si="142"/>
        <v>0</v>
      </c>
      <c r="BB65" s="308">
        <f t="shared" si="142"/>
        <v>0</v>
      </c>
      <c r="BC65" s="322" t="e">
        <f>+BB65/BA65</f>
        <v>#DIV/0!</v>
      </c>
      <c r="BD65" s="299">
        <f t="shared" ref="BD65:BE65" si="143">+BD67+BD75</f>
        <v>40529748320</v>
      </c>
      <c r="BE65" s="299">
        <f t="shared" si="143"/>
        <v>36340549680</v>
      </c>
      <c r="BF65" s="322">
        <f t="shared" ref="BF65:BF71" si="144">+BE65/BD65</f>
        <v>0.89663891798872142</v>
      </c>
      <c r="BG65" s="299">
        <f>+BG67+BG75</f>
        <v>4925057048</v>
      </c>
      <c r="BH65" s="322">
        <f t="shared" ref="BH65:BH79" si="145">+BG65/BD65</f>
        <v>0.12151708935161727</v>
      </c>
      <c r="BI65" s="49"/>
      <c r="BJ65" s="349" t="s">
        <v>75</v>
      </c>
      <c r="BK65" s="349" t="s">
        <v>80</v>
      </c>
      <c r="BL65" s="349" t="s">
        <v>282</v>
      </c>
      <c r="BM65" s="10"/>
      <c r="BN65" s="10"/>
      <c r="BO65" s="10"/>
    </row>
    <row r="66" spans="1:67" ht="32.25" customHeight="1">
      <c r="A66" s="116" t="s">
        <v>503</v>
      </c>
      <c r="B66" s="43"/>
      <c r="C66" s="44"/>
      <c r="D66" s="49"/>
      <c r="E66" s="46"/>
      <c r="F66" s="46"/>
      <c r="G66" s="46"/>
      <c r="H66" s="46"/>
      <c r="I66" s="46"/>
      <c r="J66" s="46"/>
      <c r="K66" s="46"/>
      <c r="L66" s="46"/>
      <c r="M66" s="46"/>
      <c r="N66" s="46"/>
      <c r="O66" s="47">
        <f>+(O67*AG67)+(O75*AG75)</f>
        <v>0.96711355799999987</v>
      </c>
      <c r="P66" s="47">
        <f>+(P67*AH67)+(P75*AH75)</f>
        <v>0.92879999999999996</v>
      </c>
      <c r="Q66" s="47">
        <f>+(Q67*AI67)+(Q75*AI75)</f>
        <v>0.84333659999999999</v>
      </c>
      <c r="R66" s="47">
        <f>+(R67*AJ67)+(R75*AJ75)</f>
        <v>0.84644520000000001</v>
      </c>
      <c r="S66" s="263"/>
      <c r="T66" s="263"/>
      <c r="U66" s="263"/>
      <c r="V66" s="263"/>
      <c r="W66" s="263"/>
      <c r="X66" s="106"/>
      <c r="Y66" s="49"/>
      <c r="Z66" s="49"/>
      <c r="AA66" s="49"/>
      <c r="AB66" s="49"/>
      <c r="AC66" s="108"/>
      <c r="AD66" s="108"/>
      <c r="AE66" s="47">
        <f>+(AE67*AF67)+(AE75*AF75)</f>
        <v>0.90409338835968178</v>
      </c>
      <c r="AF66" s="47"/>
      <c r="AG66" s="47"/>
      <c r="AH66" s="248"/>
      <c r="AI66" s="47"/>
      <c r="AJ66" s="47"/>
      <c r="AK66" s="304">
        <f t="shared" ref="AK66:AO66" si="146">+AK67+AK75</f>
        <v>10178606261</v>
      </c>
      <c r="AL66" s="304">
        <f t="shared" si="146"/>
        <v>4021179809</v>
      </c>
      <c r="AM66" s="304">
        <f t="shared" si="146"/>
        <v>14896358964</v>
      </c>
      <c r="AN66" s="304">
        <f t="shared" si="146"/>
        <v>8611350887</v>
      </c>
      <c r="AO66" s="304">
        <f t="shared" si="146"/>
        <v>8811660020</v>
      </c>
      <c r="AP66" s="50">
        <f t="shared" si="139"/>
        <v>0.8657039867788634</v>
      </c>
      <c r="AQ66" s="115"/>
      <c r="AR66" s="115"/>
      <c r="AS66" s="115"/>
      <c r="AT66" s="340">
        <f>+AT67+AT75</f>
        <v>4925057048</v>
      </c>
      <c r="AU66" s="341">
        <f t="shared" si="141"/>
        <v>0.483863597992849</v>
      </c>
      <c r="AV66" s="308"/>
      <c r="AW66" s="308"/>
      <c r="AX66" s="308"/>
      <c r="AY66" s="308"/>
      <c r="AZ66" s="308"/>
      <c r="BA66" s="308"/>
      <c r="BB66" s="308"/>
      <c r="BC66" s="322"/>
      <c r="BD66" s="299">
        <f t="shared" ref="BD66:BE66" si="147">+BD67+BD75</f>
        <v>40529748320</v>
      </c>
      <c r="BE66" s="299">
        <f t="shared" si="147"/>
        <v>36340549680</v>
      </c>
      <c r="BF66" s="322">
        <f t="shared" si="144"/>
        <v>0.89663891798872142</v>
      </c>
      <c r="BG66" s="299">
        <f>+BG67+BG75</f>
        <v>4925057048</v>
      </c>
      <c r="BH66" s="322">
        <f t="shared" si="145"/>
        <v>0.12151708935161727</v>
      </c>
      <c r="BI66" s="49"/>
      <c r="BJ66" s="349" t="s">
        <v>75</v>
      </c>
      <c r="BK66" s="349" t="s">
        <v>80</v>
      </c>
      <c r="BL66" s="349" t="s">
        <v>282</v>
      </c>
      <c r="BM66" s="10"/>
      <c r="BN66" s="10"/>
      <c r="BO66" s="10"/>
    </row>
    <row r="67" spans="1:67" ht="28.5" customHeight="1">
      <c r="A67" s="195" t="s">
        <v>504</v>
      </c>
      <c r="B67" s="53"/>
      <c r="C67" s="53"/>
      <c r="D67" s="53"/>
      <c r="E67" s="53"/>
      <c r="F67" s="53"/>
      <c r="G67" s="53"/>
      <c r="H67" s="53"/>
      <c r="I67" s="53"/>
      <c r="J67" s="53"/>
      <c r="K67" s="53"/>
      <c r="L67" s="53"/>
      <c r="M67" s="53"/>
      <c r="N67" s="53"/>
      <c r="O67" s="54">
        <f>+SUMPRODUCT(O68:O74,AG68:AG74)</f>
        <v>0.9441179999999999</v>
      </c>
      <c r="P67" s="54">
        <f>+SUMPRODUCT(P68:P74,AH68:AH74)</f>
        <v>0.96799999999999997</v>
      </c>
      <c r="Q67" s="54">
        <f>+SUMPRODUCT(Q68:Q74,AI68:AI74)</f>
        <v>0.85917320000000008</v>
      </c>
      <c r="R67" s="54">
        <f>+SUMPRODUCT(R68:R74,AJ68:AJ74)</f>
        <v>0.76476540000000015</v>
      </c>
      <c r="S67" s="259"/>
      <c r="T67" s="259"/>
      <c r="U67" s="259"/>
      <c r="V67" s="259"/>
      <c r="W67" s="259"/>
      <c r="X67" s="55"/>
      <c r="Y67" s="56"/>
      <c r="Z67" s="56"/>
      <c r="AA67" s="56"/>
      <c r="AB67" s="56"/>
      <c r="AC67" s="57"/>
      <c r="AD67" s="57"/>
      <c r="AE67" s="54">
        <f>+SUMPRODUCT(AE68:AE74,AF68:AF74)</f>
        <v>0.90460600237324706</v>
      </c>
      <c r="AF67" s="54">
        <f t="shared" ref="AF67:AF79" si="148">SUM(AG67:AJ67)/4</f>
        <v>0.52024999999999999</v>
      </c>
      <c r="AG67" s="54">
        <v>0.58099999999999996</v>
      </c>
      <c r="AH67" s="249">
        <v>0.5</v>
      </c>
      <c r="AI67" s="54">
        <v>0.5</v>
      </c>
      <c r="AJ67" s="54">
        <v>0.5</v>
      </c>
      <c r="AK67" s="305">
        <f t="shared" ref="AK67:AO67" si="149">SUM(AK68:AK74)</f>
        <v>9021422749</v>
      </c>
      <c r="AL67" s="305">
        <f t="shared" si="149"/>
        <v>3643792015</v>
      </c>
      <c r="AM67" s="305">
        <f t="shared" si="149"/>
        <v>13896120485</v>
      </c>
      <c r="AN67" s="305">
        <f t="shared" si="149"/>
        <v>8128874023</v>
      </c>
      <c r="AO67" s="305">
        <f t="shared" si="149"/>
        <v>7978145068</v>
      </c>
      <c r="AP67" s="60">
        <f t="shared" si="139"/>
        <v>0.88435552683575946</v>
      </c>
      <c r="AQ67" s="117">
        <f t="shared" ref="AQ67:AS67" si="150">SUM(AQ68:AQ74)</f>
        <v>0</v>
      </c>
      <c r="AR67" s="117">
        <f t="shared" si="150"/>
        <v>0</v>
      </c>
      <c r="AS67" s="117">
        <f t="shared" si="150"/>
        <v>0</v>
      </c>
      <c r="AT67" s="342">
        <f>+SUM(AT68:AT74)</f>
        <v>4381171570</v>
      </c>
      <c r="AU67" s="331">
        <f t="shared" si="141"/>
        <v>0.48564086751013202</v>
      </c>
      <c r="AV67" s="310">
        <f t="shared" ref="AV67:BB67" si="151">SUM(AV68:AV74)</f>
        <v>0</v>
      </c>
      <c r="AW67" s="310">
        <f t="shared" si="151"/>
        <v>0</v>
      </c>
      <c r="AX67" s="310">
        <f t="shared" si="151"/>
        <v>0</v>
      </c>
      <c r="AY67" s="310">
        <f t="shared" si="151"/>
        <v>0</v>
      </c>
      <c r="AZ67" s="310">
        <f t="shared" si="151"/>
        <v>0</v>
      </c>
      <c r="BA67" s="310">
        <f t="shared" si="151"/>
        <v>0</v>
      </c>
      <c r="BB67" s="310">
        <f t="shared" si="151"/>
        <v>0</v>
      </c>
      <c r="BC67" s="325" t="e">
        <f t="shared" ref="BC67:BC68" si="152">+BB67/BA67</f>
        <v>#DIV/0!</v>
      </c>
      <c r="BD67" s="300">
        <f t="shared" ref="BD67:BE67" si="153">SUM(BD68:BD74)</f>
        <v>37303001242</v>
      </c>
      <c r="BE67" s="300">
        <f t="shared" si="153"/>
        <v>33646931591</v>
      </c>
      <c r="BF67" s="325">
        <f t="shared" si="144"/>
        <v>0.90198993300079089</v>
      </c>
      <c r="BG67" s="300">
        <f>SUM(BG68:BG74)</f>
        <v>4381171570</v>
      </c>
      <c r="BH67" s="325">
        <f t="shared" si="145"/>
        <v>0.11744823269252594</v>
      </c>
      <c r="BI67" s="56"/>
      <c r="BJ67" s="350" t="s">
        <v>75</v>
      </c>
      <c r="BK67" s="350" t="s">
        <v>80</v>
      </c>
      <c r="BL67" s="350" t="s">
        <v>282</v>
      </c>
      <c r="BM67" s="10"/>
      <c r="BN67" s="10"/>
      <c r="BO67" s="10"/>
    </row>
    <row r="68" spans="1:67" ht="20.100000000000001" customHeight="1">
      <c r="A68" s="231" t="s">
        <v>228</v>
      </c>
      <c r="B68" s="242"/>
      <c r="C68" s="241" t="s">
        <v>229</v>
      </c>
      <c r="D68" s="64">
        <v>0</v>
      </c>
      <c r="E68" s="65">
        <v>100</v>
      </c>
      <c r="F68" s="220">
        <v>100</v>
      </c>
      <c r="G68" s="66">
        <v>100</v>
      </c>
      <c r="H68" s="64">
        <v>0</v>
      </c>
      <c r="I68" s="65">
        <v>98</v>
      </c>
      <c r="J68" s="67">
        <v>96.9</v>
      </c>
      <c r="K68" s="233">
        <v>75.55</v>
      </c>
      <c r="L68" s="68"/>
      <c r="M68" s="69"/>
      <c r="N68" s="69"/>
      <c r="O68" s="71">
        <v>0</v>
      </c>
      <c r="P68" s="71">
        <f t="shared" ref="P68:Q68" si="154">IF((I68+M68)/E68&gt;=100%,100%,(I68+M68)/E68)</f>
        <v>0.98</v>
      </c>
      <c r="Q68" s="71">
        <f t="shared" si="154"/>
        <v>0.96900000000000008</v>
      </c>
      <c r="R68" s="71">
        <f t="shared" ref="R68:R74" si="155">IF(K68/G68&gt;=100%,100%,K68/G68)</f>
        <v>0.75549999999999995</v>
      </c>
      <c r="S68" s="261"/>
      <c r="T68" s="261"/>
      <c r="U68" s="261"/>
      <c r="V68" s="231"/>
      <c r="W68" s="251"/>
      <c r="X68" s="72">
        <v>45230</v>
      </c>
      <c r="Y68" s="73"/>
      <c r="Z68" s="63"/>
      <c r="AA68" s="74"/>
      <c r="AB68" s="76"/>
      <c r="AC68" s="76">
        <f t="shared" ref="AC68:AC74" si="156">SUM(D68:G68)</f>
        <v>300</v>
      </c>
      <c r="AD68" s="76">
        <f t="shared" ref="AD68:AD74" si="157">SUM(H68:N68)</f>
        <v>270.45</v>
      </c>
      <c r="AE68" s="71">
        <f t="shared" ref="AE68:AE74" si="158">IF(AD68/AC68&gt;=100%,100%,AD68/AC68)</f>
        <v>0.90149999999999997</v>
      </c>
      <c r="AF68" s="54">
        <f t="shared" si="148"/>
        <v>9.6400000000000013E-2</v>
      </c>
      <c r="AG68" s="77">
        <v>0</v>
      </c>
      <c r="AH68" s="289">
        <v>0.1</v>
      </c>
      <c r="AI68" s="70">
        <v>0.14280000000000001</v>
      </c>
      <c r="AJ68" s="70">
        <v>0.14280000000000001</v>
      </c>
      <c r="AK68" s="301">
        <v>1696264100</v>
      </c>
      <c r="AL68" s="301">
        <v>0</v>
      </c>
      <c r="AM68" s="301">
        <f>1076870112+113601516</f>
        <v>1190471628</v>
      </c>
      <c r="AN68" s="301">
        <v>1295924053</v>
      </c>
      <c r="AO68" s="301">
        <v>1281606163</v>
      </c>
      <c r="AP68" s="79">
        <f t="shared" si="139"/>
        <v>0.7555463580229046</v>
      </c>
      <c r="AQ68" s="80"/>
      <c r="AR68" s="81"/>
      <c r="AS68" s="83"/>
      <c r="AT68" s="343">
        <v>1271475538</v>
      </c>
      <c r="AU68" s="329">
        <f t="shared" si="141"/>
        <v>0.74957404215534595</v>
      </c>
      <c r="AV68" s="313"/>
      <c r="AW68" s="313"/>
      <c r="AX68" s="313"/>
      <c r="AY68" s="313"/>
      <c r="AZ68" s="313"/>
      <c r="BA68" s="313"/>
      <c r="BB68" s="313"/>
      <c r="BC68" s="328" t="e">
        <f t="shared" si="152"/>
        <v>#DIV/0!</v>
      </c>
      <c r="BD68" s="317">
        <f>2553777097+AK68</f>
        <v>4250041197</v>
      </c>
      <c r="BE68" s="312">
        <f t="shared" ref="BE68:BE74" si="159">+AL68+AM68+AN68+AO68</f>
        <v>3768001844</v>
      </c>
      <c r="BF68" s="328">
        <f t="shared" si="144"/>
        <v>0.88658007519073934</v>
      </c>
      <c r="BG68" s="312">
        <f t="shared" ref="BG68:BG74" si="160">SUM(AQ68:AT68)+AX68+AZ68+BB68</f>
        <v>1271475538</v>
      </c>
      <c r="BH68" s="328">
        <f t="shared" si="145"/>
        <v>0.29916781486671318</v>
      </c>
      <c r="BI68" s="85"/>
      <c r="BJ68" s="254" t="s">
        <v>81</v>
      </c>
      <c r="BK68" s="254" t="s">
        <v>83</v>
      </c>
      <c r="BL68" s="231" t="s">
        <v>230</v>
      </c>
      <c r="BM68" s="10"/>
      <c r="BN68" s="10"/>
      <c r="BO68" s="10"/>
    </row>
    <row r="69" spans="1:67" ht="42" customHeight="1">
      <c r="A69" s="231" t="s">
        <v>505</v>
      </c>
      <c r="B69" s="241" t="s">
        <v>506</v>
      </c>
      <c r="C69" s="241" t="s">
        <v>241</v>
      </c>
      <c r="D69" s="64">
        <v>1</v>
      </c>
      <c r="E69" s="65">
        <v>1</v>
      </c>
      <c r="F69" s="220">
        <v>1</v>
      </c>
      <c r="G69" s="221">
        <v>1</v>
      </c>
      <c r="H69" s="64">
        <v>1</v>
      </c>
      <c r="I69" s="65">
        <v>1</v>
      </c>
      <c r="J69" s="67">
        <v>1</v>
      </c>
      <c r="K69" s="236">
        <v>1</v>
      </c>
      <c r="L69" s="68"/>
      <c r="M69" s="69"/>
      <c r="N69" s="69"/>
      <c r="O69" s="71">
        <v>1</v>
      </c>
      <c r="P69" s="71">
        <f t="shared" ref="P69:Q69" si="161">IF((I69+M69)/E69&gt;=100%,100%,(I69+M69)/E69)</f>
        <v>1</v>
      </c>
      <c r="Q69" s="71">
        <f t="shared" si="161"/>
        <v>1</v>
      </c>
      <c r="R69" s="71">
        <f t="shared" si="155"/>
        <v>1</v>
      </c>
      <c r="S69" s="256" t="s">
        <v>507</v>
      </c>
      <c r="T69" s="256" t="s">
        <v>508</v>
      </c>
      <c r="U69" s="256" t="s">
        <v>509</v>
      </c>
      <c r="V69" s="231" t="s">
        <v>510</v>
      </c>
      <c r="W69" s="256" t="s">
        <v>511</v>
      </c>
      <c r="X69" s="72">
        <v>45230</v>
      </c>
      <c r="Y69" s="73"/>
      <c r="Z69" s="63"/>
      <c r="AA69" s="74"/>
      <c r="AB69" s="76"/>
      <c r="AC69" s="76">
        <f t="shared" si="156"/>
        <v>4</v>
      </c>
      <c r="AD69" s="76">
        <f t="shared" si="157"/>
        <v>4</v>
      </c>
      <c r="AE69" s="71">
        <f t="shared" si="158"/>
        <v>1</v>
      </c>
      <c r="AF69" s="54">
        <f t="shared" si="148"/>
        <v>7.9200000000000007E-2</v>
      </c>
      <c r="AG69" s="77">
        <v>2.12E-2</v>
      </c>
      <c r="AH69" s="285">
        <v>0.01</v>
      </c>
      <c r="AI69" s="70">
        <v>0.14280000000000001</v>
      </c>
      <c r="AJ69" s="70">
        <v>0.14280000000000001</v>
      </c>
      <c r="AK69" s="301">
        <v>90000000</v>
      </c>
      <c r="AL69" s="301">
        <v>112790086</v>
      </c>
      <c r="AM69" s="301">
        <v>71096300</v>
      </c>
      <c r="AN69" s="301">
        <v>54960726</v>
      </c>
      <c r="AO69" s="301">
        <v>43132958</v>
      </c>
      <c r="AP69" s="79">
        <f t="shared" si="139"/>
        <v>0.4792550888888889</v>
      </c>
      <c r="AQ69" s="80"/>
      <c r="AR69" s="81"/>
      <c r="AS69" s="83"/>
      <c r="AT69" s="343">
        <v>24797600</v>
      </c>
      <c r="AU69" s="329">
        <f t="shared" si="141"/>
        <v>0.27552888888888888</v>
      </c>
      <c r="AV69" s="313"/>
      <c r="AW69" s="313"/>
      <c r="AX69" s="313"/>
      <c r="AY69" s="313"/>
      <c r="AZ69" s="313"/>
      <c r="BA69" s="313"/>
      <c r="BB69" s="313"/>
      <c r="BC69" s="328"/>
      <c r="BD69" s="317">
        <f>289671398+AK69</f>
        <v>379671398</v>
      </c>
      <c r="BE69" s="312">
        <f t="shared" si="159"/>
        <v>281980070</v>
      </c>
      <c r="BF69" s="328">
        <f t="shared" si="144"/>
        <v>0.74269505547531389</v>
      </c>
      <c r="BG69" s="312">
        <f t="shared" si="160"/>
        <v>24797600</v>
      </c>
      <c r="BH69" s="328">
        <f t="shared" si="145"/>
        <v>6.5313321284212203E-2</v>
      </c>
      <c r="BI69" s="85"/>
      <c r="BJ69" s="254" t="s">
        <v>75</v>
      </c>
      <c r="BK69" s="254" t="s">
        <v>80</v>
      </c>
      <c r="BL69" s="231" t="s">
        <v>282</v>
      </c>
      <c r="BM69" s="10"/>
      <c r="BN69" s="10"/>
      <c r="BO69" s="10"/>
    </row>
    <row r="70" spans="1:67" ht="53.25" customHeight="1">
      <c r="A70" s="231" t="s">
        <v>512</v>
      </c>
      <c r="B70" s="241" t="s">
        <v>513</v>
      </c>
      <c r="C70" s="241" t="s">
        <v>241</v>
      </c>
      <c r="D70" s="64">
        <v>3</v>
      </c>
      <c r="E70" s="65">
        <v>4</v>
      </c>
      <c r="F70" s="220">
        <v>6</v>
      </c>
      <c r="G70" s="221">
        <v>5</v>
      </c>
      <c r="H70" s="64">
        <v>3</v>
      </c>
      <c r="I70" s="65">
        <v>4</v>
      </c>
      <c r="J70" s="67">
        <v>6</v>
      </c>
      <c r="K70" s="236">
        <v>3</v>
      </c>
      <c r="L70" s="68"/>
      <c r="M70" s="69"/>
      <c r="N70" s="69"/>
      <c r="O70" s="71">
        <v>1</v>
      </c>
      <c r="P70" s="71">
        <f t="shared" ref="P70:Q70" si="162">IF((I70+M70)/E70&gt;=100%,100%,(I70+M70)/E70)</f>
        <v>1</v>
      </c>
      <c r="Q70" s="71">
        <f t="shared" si="162"/>
        <v>1</v>
      </c>
      <c r="R70" s="71">
        <f t="shared" si="155"/>
        <v>0.6</v>
      </c>
      <c r="S70" s="256" t="s">
        <v>514</v>
      </c>
      <c r="T70" s="256" t="s">
        <v>515</v>
      </c>
      <c r="U70" s="256" t="s">
        <v>516</v>
      </c>
      <c r="V70" s="231" t="s">
        <v>517</v>
      </c>
      <c r="W70" s="256" t="s">
        <v>518</v>
      </c>
      <c r="X70" s="72">
        <v>45230</v>
      </c>
      <c r="Y70" s="73"/>
      <c r="Z70" s="63"/>
      <c r="AA70" s="74"/>
      <c r="AB70" s="76"/>
      <c r="AC70" s="76">
        <f t="shared" si="156"/>
        <v>18</v>
      </c>
      <c r="AD70" s="76">
        <f t="shared" si="157"/>
        <v>16</v>
      </c>
      <c r="AE70" s="71">
        <f t="shared" si="158"/>
        <v>0.88888888888888884</v>
      </c>
      <c r="AF70" s="54">
        <f t="shared" si="148"/>
        <v>0.16947500000000001</v>
      </c>
      <c r="AG70" s="77">
        <v>0.18509999999999999</v>
      </c>
      <c r="AH70" s="285">
        <v>0.01</v>
      </c>
      <c r="AI70" s="70">
        <v>0.34</v>
      </c>
      <c r="AJ70" s="70">
        <v>0.14280000000000001</v>
      </c>
      <c r="AK70" s="301">
        <v>685000000</v>
      </c>
      <c r="AL70" s="301">
        <v>1012615288</v>
      </c>
      <c r="AM70" s="301">
        <v>179214364</v>
      </c>
      <c r="AN70" s="301">
        <v>215114098</v>
      </c>
      <c r="AO70" s="301">
        <v>382227623</v>
      </c>
      <c r="AP70" s="79">
        <f t="shared" si="139"/>
        <v>0.55799652992700732</v>
      </c>
      <c r="AQ70" s="80"/>
      <c r="AR70" s="81"/>
      <c r="AS70" s="83"/>
      <c r="AT70" s="343">
        <v>206676290</v>
      </c>
      <c r="AU70" s="329">
        <f t="shared" si="141"/>
        <v>0.30171721167883214</v>
      </c>
      <c r="AV70" s="313"/>
      <c r="AW70" s="313"/>
      <c r="AX70" s="313"/>
      <c r="AY70" s="313"/>
      <c r="AZ70" s="313"/>
      <c r="BA70" s="313"/>
      <c r="BB70" s="313"/>
      <c r="BC70" s="328"/>
      <c r="BD70" s="317">
        <f>1980239380+AK70</f>
        <v>2665239380</v>
      </c>
      <c r="BE70" s="312">
        <f t="shared" si="159"/>
        <v>1789171373</v>
      </c>
      <c r="BF70" s="328">
        <f t="shared" si="144"/>
        <v>0.67129856568455781</v>
      </c>
      <c r="BG70" s="312">
        <f t="shared" si="160"/>
        <v>206676290</v>
      </c>
      <c r="BH70" s="328">
        <f t="shared" si="145"/>
        <v>7.7545113414915851E-2</v>
      </c>
      <c r="BI70" s="85"/>
      <c r="BJ70" s="254" t="s">
        <v>75</v>
      </c>
      <c r="BK70" s="254" t="s">
        <v>80</v>
      </c>
      <c r="BL70" s="231" t="s">
        <v>282</v>
      </c>
      <c r="BM70" s="10"/>
      <c r="BN70" s="10"/>
      <c r="BO70" s="10"/>
    </row>
    <row r="71" spans="1:67" ht="30" customHeight="1">
      <c r="A71" s="231" t="s">
        <v>519</v>
      </c>
      <c r="B71" s="241" t="s">
        <v>520</v>
      </c>
      <c r="C71" s="241" t="s">
        <v>241</v>
      </c>
      <c r="D71" s="64">
        <v>25</v>
      </c>
      <c r="E71" s="65">
        <v>25</v>
      </c>
      <c r="F71" s="220">
        <v>26</v>
      </c>
      <c r="G71" s="221">
        <v>27</v>
      </c>
      <c r="H71" s="64">
        <v>23</v>
      </c>
      <c r="I71" s="65">
        <v>25</v>
      </c>
      <c r="J71" s="67">
        <v>26</v>
      </c>
      <c r="K71" s="236">
        <v>27</v>
      </c>
      <c r="L71" s="68"/>
      <c r="M71" s="69"/>
      <c r="N71" s="69"/>
      <c r="O71" s="71">
        <v>0.94</v>
      </c>
      <c r="P71" s="71">
        <f t="shared" ref="P71:Q71" si="163">IF((I71+M71)/E71&gt;=100%,100%,(I71+M71)/E71)</f>
        <v>1</v>
      </c>
      <c r="Q71" s="71">
        <f t="shared" si="163"/>
        <v>1</v>
      </c>
      <c r="R71" s="71">
        <f t="shared" si="155"/>
        <v>1</v>
      </c>
      <c r="S71" s="256" t="s">
        <v>521</v>
      </c>
      <c r="T71" s="256" t="s">
        <v>522</v>
      </c>
      <c r="U71" s="256" t="s">
        <v>523</v>
      </c>
      <c r="V71" s="231" t="s">
        <v>524</v>
      </c>
      <c r="W71" s="256" t="s">
        <v>525</v>
      </c>
      <c r="X71" s="72">
        <v>45230</v>
      </c>
      <c r="Y71" s="73"/>
      <c r="Z71" s="63"/>
      <c r="AA71" s="74"/>
      <c r="AB71" s="76"/>
      <c r="AC71" s="76">
        <f t="shared" si="156"/>
        <v>103</v>
      </c>
      <c r="AD71" s="76">
        <f t="shared" si="157"/>
        <v>101</v>
      </c>
      <c r="AE71" s="71">
        <f t="shared" si="158"/>
        <v>0.98058252427184467</v>
      </c>
      <c r="AF71" s="54">
        <f t="shared" si="148"/>
        <v>0.46657500000000002</v>
      </c>
      <c r="AG71" s="77">
        <v>0.73070000000000002</v>
      </c>
      <c r="AH71" s="285">
        <v>0.85</v>
      </c>
      <c r="AI71" s="70">
        <v>0.14280000000000001</v>
      </c>
      <c r="AJ71" s="70">
        <v>0.14280000000000001</v>
      </c>
      <c r="AK71" s="301">
        <v>6550158649</v>
      </c>
      <c r="AL71" s="301">
        <v>2498386641</v>
      </c>
      <c r="AM71" s="301">
        <v>12435338193</v>
      </c>
      <c r="AN71" s="301">
        <v>6482876509</v>
      </c>
      <c r="AO71" s="301">
        <v>6271178324</v>
      </c>
      <c r="AP71" s="79">
        <f t="shared" si="139"/>
        <v>0.95740861558481616</v>
      </c>
      <c r="AQ71" s="80"/>
      <c r="AR71" s="81"/>
      <c r="AS71" s="83"/>
      <c r="AT71" s="343">
        <v>2878222142</v>
      </c>
      <c r="AU71" s="329">
        <f t="shared" si="141"/>
        <v>0.43941258467677152</v>
      </c>
      <c r="AV71" s="313"/>
      <c r="AW71" s="313"/>
      <c r="AX71" s="313"/>
      <c r="AY71" s="313"/>
      <c r="AZ71" s="313"/>
      <c r="BA71" s="313"/>
      <c r="BB71" s="313"/>
      <c r="BC71" s="328"/>
      <c r="BD71" s="317">
        <f>23247890618+AK71</f>
        <v>29798049267</v>
      </c>
      <c r="BE71" s="312">
        <f t="shared" si="159"/>
        <v>27687779667</v>
      </c>
      <c r="BF71" s="328">
        <f t="shared" si="144"/>
        <v>0.92918094801806272</v>
      </c>
      <c r="BG71" s="312">
        <f t="shared" si="160"/>
        <v>2878222142</v>
      </c>
      <c r="BH71" s="328">
        <f t="shared" si="145"/>
        <v>9.659095856276409E-2</v>
      </c>
      <c r="BI71" s="85"/>
      <c r="BJ71" s="254" t="s">
        <v>75</v>
      </c>
      <c r="BK71" s="254" t="s">
        <v>80</v>
      </c>
      <c r="BL71" s="231" t="s">
        <v>282</v>
      </c>
      <c r="BM71" s="10"/>
      <c r="BN71" s="10"/>
      <c r="BO71" s="10"/>
    </row>
    <row r="72" spans="1:67" ht="42.75" customHeight="1">
      <c r="A72" s="231" t="s">
        <v>526</v>
      </c>
      <c r="B72" s="241" t="s">
        <v>527</v>
      </c>
      <c r="C72" s="241" t="s">
        <v>229</v>
      </c>
      <c r="D72" s="64">
        <v>100</v>
      </c>
      <c r="E72" s="65">
        <v>100</v>
      </c>
      <c r="F72" s="220">
        <v>100</v>
      </c>
      <c r="G72" s="221">
        <v>100</v>
      </c>
      <c r="H72" s="64">
        <v>0</v>
      </c>
      <c r="I72" s="65">
        <v>0</v>
      </c>
      <c r="J72" s="67">
        <v>0</v>
      </c>
      <c r="K72" s="236">
        <v>0</v>
      </c>
      <c r="L72" s="68"/>
      <c r="M72" s="69"/>
      <c r="N72" s="69"/>
      <c r="O72" s="71">
        <v>0</v>
      </c>
      <c r="P72" s="71">
        <f t="shared" ref="P72:Q72" si="164">IF((I72+M72)/E72&gt;=100%,100%,(I72+M72)/E72)</f>
        <v>0</v>
      </c>
      <c r="Q72" s="71">
        <f t="shared" si="164"/>
        <v>0</v>
      </c>
      <c r="R72" s="71">
        <f t="shared" si="155"/>
        <v>0</v>
      </c>
      <c r="S72" s="256" t="s">
        <v>528</v>
      </c>
      <c r="T72" s="256" t="s">
        <v>529</v>
      </c>
      <c r="U72" s="256"/>
      <c r="V72" s="231"/>
      <c r="W72" s="256"/>
      <c r="X72" s="72">
        <v>45230</v>
      </c>
      <c r="Y72" s="73"/>
      <c r="Z72" s="63"/>
      <c r="AA72" s="74"/>
      <c r="AB72" s="74"/>
      <c r="AC72" s="76">
        <f t="shared" si="156"/>
        <v>400</v>
      </c>
      <c r="AD72" s="76">
        <f t="shared" si="157"/>
        <v>0</v>
      </c>
      <c r="AE72" s="71">
        <f t="shared" si="158"/>
        <v>0</v>
      </c>
      <c r="AF72" s="54">
        <f t="shared" si="148"/>
        <v>7.1400000000000005E-2</v>
      </c>
      <c r="AG72" s="77">
        <v>0</v>
      </c>
      <c r="AH72" s="285">
        <v>0</v>
      </c>
      <c r="AI72" s="70">
        <v>0.14280000000000001</v>
      </c>
      <c r="AJ72" s="70">
        <v>0.14280000000000001</v>
      </c>
      <c r="AK72" s="301">
        <v>0</v>
      </c>
      <c r="AL72" s="301">
        <v>0</v>
      </c>
      <c r="AM72" s="301">
        <v>0</v>
      </c>
      <c r="AN72" s="301">
        <v>0</v>
      </c>
      <c r="AO72" s="301">
        <v>0</v>
      </c>
      <c r="AP72" s="79">
        <v>0</v>
      </c>
      <c r="AQ72" s="80"/>
      <c r="AR72" s="81"/>
      <c r="AS72" s="82"/>
      <c r="AT72" s="344">
        <v>0</v>
      </c>
      <c r="AU72" s="329">
        <v>0</v>
      </c>
      <c r="AV72" s="313"/>
      <c r="AW72" s="313"/>
      <c r="AX72" s="313"/>
      <c r="AY72" s="313"/>
      <c r="AZ72" s="313"/>
      <c r="BA72" s="313"/>
      <c r="BB72" s="313"/>
      <c r="BC72" s="328" t="e">
        <f t="shared" ref="BC72:BC79" si="165">+BB72/BA72</f>
        <v>#DIV/0!</v>
      </c>
      <c r="BD72" s="317">
        <f>0+AK72</f>
        <v>0</v>
      </c>
      <c r="BE72" s="312">
        <f t="shared" si="159"/>
        <v>0</v>
      </c>
      <c r="BF72" s="328">
        <v>0</v>
      </c>
      <c r="BG72" s="312">
        <f t="shared" si="160"/>
        <v>0</v>
      </c>
      <c r="BH72" s="328" t="e">
        <f t="shared" si="145"/>
        <v>#DIV/0!</v>
      </c>
      <c r="BI72" s="85"/>
      <c r="BJ72" s="254" t="s">
        <v>75</v>
      </c>
      <c r="BK72" s="254" t="s">
        <v>80</v>
      </c>
      <c r="BL72" s="231" t="s">
        <v>282</v>
      </c>
      <c r="BM72" s="10"/>
      <c r="BN72" s="10"/>
      <c r="BO72" s="10"/>
    </row>
    <row r="73" spans="1:67" ht="30" customHeight="1">
      <c r="A73" s="231" t="s">
        <v>530</v>
      </c>
      <c r="B73" s="241" t="s">
        <v>531</v>
      </c>
      <c r="C73" s="241" t="s">
        <v>241</v>
      </c>
      <c r="D73" s="64">
        <v>1</v>
      </c>
      <c r="E73" s="65">
        <v>1</v>
      </c>
      <c r="F73" s="220">
        <v>0</v>
      </c>
      <c r="G73" s="221">
        <v>1</v>
      </c>
      <c r="H73" s="64">
        <v>1</v>
      </c>
      <c r="I73" s="65">
        <v>1</v>
      </c>
      <c r="J73" s="67">
        <v>0</v>
      </c>
      <c r="K73" s="236">
        <v>1</v>
      </c>
      <c r="L73" s="68"/>
      <c r="M73" s="69"/>
      <c r="N73" s="69"/>
      <c r="O73" s="71">
        <v>0.8</v>
      </c>
      <c r="P73" s="71">
        <f t="shared" ref="P73:P74" si="166">IF((I73+M73)/E73&gt;=100%,100%,(I73+M73)/E73)</f>
        <v>1</v>
      </c>
      <c r="Q73" s="71">
        <v>0</v>
      </c>
      <c r="R73" s="71">
        <f t="shared" si="155"/>
        <v>1</v>
      </c>
      <c r="S73" s="256" t="s">
        <v>532</v>
      </c>
      <c r="T73" s="256" t="s">
        <v>533</v>
      </c>
      <c r="U73" s="256" t="s">
        <v>534</v>
      </c>
      <c r="V73" s="231"/>
      <c r="W73" s="256" t="s">
        <v>535</v>
      </c>
      <c r="X73" s="72">
        <v>45230</v>
      </c>
      <c r="Y73" s="73"/>
      <c r="Z73" s="63"/>
      <c r="AA73" s="74"/>
      <c r="AB73" s="74"/>
      <c r="AC73" s="76">
        <f t="shared" si="156"/>
        <v>3</v>
      </c>
      <c r="AD73" s="76">
        <f t="shared" si="157"/>
        <v>3</v>
      </c>
      <c r="AE73" s="71">
        <f t="shared" si="158"/>
        <v>1</v>
      </c>
      <c r="AF73" s="54">
        <f t="shared" si="148"/>
        <v>7.6075000000000004E-2</v>
      </c>
      <c r="AG73" s="77">
        <v>1.8700000000000001E-2</v>
      </c>
      <c r="AH73" s="285">
        <v>0</v>
      </c>
      <c r="AI73" s="70">
        <v>0.14280000000000001</v>
      </c>
      <c r="AJ73" s="70">
        <v>0.14280000000000001</v>
      </c>
      <c r="AK73" s="301">
        <v>0</v>
      </c>
      <c r="AL73" s="301">
        <v>20000000</v>
      </c>
      <c r="AM73" s="301">
        <v>0</v>
      </c>
      <c r="AN73" s="301">
        <v>0</v>
      </c>
      <c r="AO73" s="301">
        <v>0</v>
      </c>
      <c r="AP73" s="79">
        <v>0</v>
      </c>
      <c r="AQ73" s="80"/>
      <c r="AR73" s="81"/>
      <c r="AS73" s="82"/>
      <c r="AT73" s="344">
        <v>0</v>
      </c>
      <c r="AU73" s="329">
        <v>0</v>
      </c>
      <c r="AV73" s="313"/>
      <c r="AW73" s="313"/>
      <c r="AX73" s="313"/>
      <c r="AY73" s="313"/>
      <c r="AZ73" s="313"/>
      <c r="BA73" s="313"/>
      <c r="BB73" s="313"/>
      <c r="BC73" s="328" t="e">
        <f t="shared" si="165"/>
        <v>#DIV/0!</v>
      </c>
      <c r="BD73" s="317">
        <f>20000000+AK73</f>
        <v>20000000</v>
      </c>
      <c r="BE73" s="312">
        <f t="shared" si="159"/>
        <v>20000000</v>
      </c>
      <c r="BF73" s="328">
        <f t="shared" ref="BF73:BF79" si="167">+BE73/BD73</f>
        <v>1</v>
      </c>
      <c r="BG73" s="312">
        <f t="shared" si="160"/>
        <v>0</v>
      </c>
      <c r="BH73" s="328">
        <f t="shared" si="145"/>
        <v>0</v>
      </c>
      <c r="BI73" s="85"/>
      <c r="BJ73" s="254" t="s">
        <v>75</v>
      </c>
      <c r="BK73" s="254" t="s">
        <v>80</v>
      </c>
      <c r="BL73" s="231" t="s">
        <v>282</v>
      </c>
      <c r="BM73" s="10"/>
      <c r="BN73" s="10"/>
      <c r="BO73" s="10"/>
    </row>
    <row r="74" spans="1:67" ht="30" customHeight="1">
      <c r="A74" s="231" t="s">
        <v>536</v>
      </c>
      <c r="B74" s="241" t="s">
        <v>537</v>
      </c>
      <c r="C74" s="241" t="s">
        <v>241</v>
      </c>
      <c r="D74" s="64">
        <v>1</v>
      </c>
      <c r="E74" s="65">
        <v>1</v>
      </c>
      <c r="F74" s="220">
        <v>3</v>
      </c>
      <c r="G74" s="221">
        <v>1</v>
      </c>
      <c r="H74" s="64">
        <v>0</v>
      </c>
      <c r="I74" s="65">
        <v>1</v>
      </c>
      <c r="J74" s="67">
        <v>2</v>
      </c>
      <c r="K74" s="236">
        <v>1</v>
      </c>
      <c r="L74" s="68"/>
      <c r="M74" s="69"/>
      <c r="N74" s="69"/>
      <c r="O74" s="71">
        <v>0.9</v>
      </c>
      <c r="P74" s="71">
        <f t="shared" si="166"/>
        <v>1</v>
      </c>
      <c r="Q74" s="71">
        <f>IF((J74+N74)/F74&gt;=100%,100%,(J74+N74)/F74)</f>
        <v>0.66666666666666663</v>
      </c>
      <c r="R74" s="71">
        <f t="shared" si="155"/>
        <v>1</v>
      </c>
      <c r="S74" s="256" t="s">
        <v>538</v>
      </c>
      <c r="T74" s="256" t="s">
        <v>539</v>
      </c>
      <c r="U74" s="256" t="s">
        <v>540</v>
      </c>
      <c r="V74" s="231"/>
      <c r="W74" s="256" t="s">
        <v>541</v>
      </c>
      <c r="X74" s="72">
        <v>45230</v>
      </c>
      <c r="Y74" s="73"/>
      <c r="Z74" s="63"/>
      <c r="AA74" s="74"/>
      <c r="AB74" s="74"/>
      <c r="AC74" s="76">
        <f t="shared" si="156"/>
        <v>6</v>
      </c>
      <c r="AD74" s="76">
        <f t="shared" si="157"/>
        <v>4</v>
      </c>
      <c r="AE74" s="71">
        <f t="shared" si="158"/>
        <v>0.66666666666666663</v>
      </c>
      <c r="AF74" s="54">
        <f t="shared" si="148"/>
        <v>8.14E-2</v>
      </c>
      <c r="AG74" s="77">
        <v>0.04</v>
      </c>
      <c r="AH74" s="285">
        <v>0</v>
      </c>
      <c r="AI74" s="70">
        <v>0.14280000000000001</v>
      </c>
      <c r="AJ74" s="70">
        <v>0.14280000000000001</v>
      </c>
      <c r="AK74" s="301">
        <v>0</v>
      </c>
      <c r="AL74" s="301">
        <v>0</v>
      </c>
      <c r="AM74" s="301">
        <v>20000000</v>
      </c>
      <c r="AN74" s="301">
        <v>79998637</v>
      </c>
      <c r="AO74" s="301">
        <v>0</v>
      </c>
      <c r="AP74" s="79">
        <v>0</v>
      </c>
      <c r="AQ74" s="80"/>
      <c r="AR74" s="81"/>
      <c r="AS74" s="82"/>
      <c r="AT74" s="344">
        <v>0</v>
      </c>
      <c r="AU74" s="329">
        <v>0</v>
      </c>
      <c r="AV74" s="313"/>
      <c r="AW74" s="313"/>
      <c r="AX74" s="313"/>
      <c r="AY74" s="313"/>
      <c r="AZ74" s="313"/>
      <c r="BA74" s="313"/>
      <c r="BB74" s="313"/>
      <c r="BC74" s="328" t="e">
        <f t="shared" si="165"/>
        <v>#DIV/0!</v>
      </c>
      <c r="BD74" s="317">
        <f>190000000+AK74</f>
        <v>190000000</v>
      </c>
      <c r="BE74" s="312">
        <f t="shared" si="159"/>
        <v>99998637</v>
      </c>
      <c r="BF74" s="328">
        <f t="shared" si="167"/>
        <v>0.52630861578947363</v>
      </c>
      <c r="BG74" s="312">
        <f t="shared" si="160"/>
        <v>0</v>
      </c>
      <c r="BH74" s="328">
        <f t="shared" si="145"/>
        <v>0</v>
      </c>
      <c r="BI74" s="85"/>
      <c r="BJ74" s="254" t="s">
        <v>75</v>
      </c>
      <c r="BK74" s="254" t="s">
        <v>80</v>
      </c>
      <c r="BL74" s="231" t="s">
        <v>282</v>
      </c>
      <c r="BM74" s="10"/>
      <c r="BN74" s="10"/>
      <c r="BO74" s="10"/>
    </row>
    <row r="75" spans="1:67" ht="37.5" customHeight="1">
      <c r="A75" s="195" t="s">
        <v>542</v>
      </c>
      <c r="B75" s="53"/>
      <c r="C75" s="53"/>
      <c r="D75" s="53"/>
      <c r="E75" s="53"/>
      <c r="F75" s="53"/>
      <c r="G75" s="53"/>
      <c r="H75" s="53"/>
      <c r="I75" s="53"/>
      <c r="J75" s="53"/>
      <c r="K75" s="53"/>
      <c r="L75" s="53"/>
      <c r="M75" s="53"/>
      <c r="N75" s="53"/>
      <c r="O75" s="54">
        <f>+SUMPRODUCT(O76:O79,AG76:AG79)</f>
        <v>0.99900000000000011</v>
      </c>
      <c r="P75" s="54">
        <f>+SUMPRODUCT(P76:P79,AH76:AH79)</f>
        <v>0.88959999999999995</v>
      </c>
      <c r="Q75" s="54">
        <f>+SUMPRODUCT(Q76:Q79,AI76:AI79)</f>
        <v>0.82750000000000001</v>
      </c>
      <c r="R75" s="54">
        <f>+SUMPRODUCT(R76:R79,AJ76:AJ79)</f>
        <v>0.92812499999999998</v>
      </c>
      <c r="S75" s="259"/>
      <c r="T75" s="259"/>
      <c r="U75" s="259"/>
      <c r="V75" s="54"/>
      <c r="W75" s="54"/>
      <c r="X75" s="54"/>
      <c r="Y75" s="54"/>
      <c r="Z75" s="54"/>
      <c r="AA75" s="54"/>
      <c r="AB75" s="54"/>
      <c r="AC75" s="54"/>
      <c r="AD75" s="54"/>
      <c r="AE75" s="54">
        <f>+SUMPRODUCT(AE76:AE79,AF76:AF79)</f>
        <v>0.9035375000000001</v>
      </c>
      <c r="AF75" s="54">
        <f t="shared" si="148"/>
        <v>0.47975000000000001</v>
      </c>
      <c r="AG75" s="54">
        <v>0.41899999999999998</v>
      </c>
      <c r="AH75" s="249">
        <v>0.5</v>
      </c>
      <c r="AI75" s="54">
        <v>0.5</v>
      </c>
      <c r="AJ75" s="54">
        <v>0.5</v>
      </c>
      <c r="AK75" s="305">
        <f t="shared" ref="AK75:AO75" si="168">SUM(AK76:AK79)</f>
        <v>1157183512</v>
      </c>
      <c r="AL75" s="305">
        <f t="shared" si="168"/>
        <v>377387794</v>
      </c>
      <c r="AM75" s="305">
        <f t="shared" si="168"/>
        <v>1000238479</v>
      </c>
      <c r="AN75" s="305">
        <f t="shared" si="168"/>
        <v>482476864</v>
      </c>
      <c r="AO75" s="305">
        <f t="shared" si="168"/>
        <v>833514952</v>
      </c>
      <c r="AP75" s="60">
        <f t="shared" ref="AP75:AP79" si="169">+AO75/AK75</f>
        <v>0.72029625669260311</v>
      </c>
      <c r="AQ75" s="58">
        <f t="shared" ref="AQ75:AS75" si="170">SUM(AQ76:AQ79)</f>
        <v>0</v>
      </c>
      <c r="AR75" s="58">
        <f t="shared" si="170"/>
        <v>0</v>
      </c>
      <c r="AS75" s="58">
        <f t="shared" si="170"/>
        <v>0</v>
      </c>
      <c r="AT75" s="323">
        <f>+SUM(AT76:AT79)</f>
        <v>543885478</v>
      </c>
      <c r="AU75" s="331">
        <f>+AT75/AK75</f>
        <v>0.4700079739815719</v>
      </c>
      <c r="AV75" s="310">
        <f t="shared" ref="AV75:BB75" si="171">SUM(AV76:AV79)</f>
        <v>0</v>
      </c>
      <c r="AW75" s="310">
        <f t="shared" si="171"/>
        <v>0</v>
      </c>
      <c r="AX75" s="310">
        <f t="shared" si="171"/>
        <v>0</v>
      </c>
      <c r="AY75" s="310">
        <f t="shared" si="171"/>
        <v>0</v>
      </c>
      <c r="AZ75" s="310">
        <f t="shared" si="171"/>
        <v>0</v>
      </c>
      <c r="BA75" s="310">
        <f t="shared" si="171"/>
        <v>0</v>
      </c>
      <c r="BB75" s="310">
        <f t="shared" si="171"/>
        <v>0</v>
      </c>
      <c r="BC75" s="325" t="e">
        <f t="shared" si="165"/>
        <v>#DIV/0!</v>
      </c>
      <c r="BD75" s="300">
        <f t="shared" ref="BD75:BE75" si="172">SUM(BD76:BD79)</f>
        <v>3226747078</v>
      </c>
      <c r="BE75" s="300">
        <f t="shared" si="172"/>
        <v>2693618089</v>
      </c>
      <c r="BF75" s="325">
        <f t="shared" si="167"/>
        <v>0.83477819112787621</v>
      </c>
      <c r="BG75" s="300">
        <f>SUM(BG76:BG79)</f>
        <v>543885478</v>
      </c>
      <c r="BH75" s="325">
        <f>+BG75/BD75</f>
        <v>0.16855534842139244</v>
      </c>
      <c r="BI75" s="56"/>
      <c r="BJ75" s="350" t="s">
        <v>75</v>
      </c>
      <c r="BK75" s="350" t="s">
        <v>99</v>
      </c>
      <c r="BL75" s="350" t="s">
        <v>543</v>
      </c>
      <c r="BM75" s="10"/>
      <c r="BN75" s="10"/>
      <c r="BO75" s="10"/>
    </row>
    <row r="76" spans="1:67" ht="20.100000000000001" customHeight="1">
      <c r="A76" s="231" t="s">
        <v>228</v>
      </c>
      <c r="B76" s="231"/>
      <c r="C76" s="241" t="s">
        <v>229</v>
      </c>
      <c r="D76" s="64">
        <v>0</v>
      </c>
      <c r="E76" s="65">
        <v>100</v>
      </c>
      <c r="F76" s="220">
        <v>100</v>
      </c>
      <c r="G76" s="66">
        <v>100</v>
      </c>
      <c r="H76" s="64">
        <v>0</v>
      </c>
      <c r="I76" s="65">
        <v>31</v>
      </c>
      <c r="J76" s="67">
        <v>91</v>
      </c>
      <c r="K76" s="233">
        <v>71.25</v>
      </c>
      <c r="L76" s="68"/>
      <c r="M76" s="69"/>
      <c r="N76" s="69"/>
      <c r="O76" s="70">
        <v>0</v>
      </c>
      <c r="P76" s="70">
        <f t="shared" ref="P76:Q76" si="173">IF((I76+M76)/E76&gt;=100%,100%,(I76+M76)/E76)</f>
        <v>0.31</v>
      </c>
      <c r="Q76" s="70">
        <f t="shared" si="173"/>
        <v>0.91</v>
      </c>
      <c r="R76" s="71">
        <f t="shared" ref="R76:R79" si="174">IF(K76/G76&gt;=100%,100%,K76/G76)</f>
        <v>0.71250000000000002</v>
      </c>
      <c r="S76" s="261"/>
      <c r="T76" s="261"/>
      <c r="U76" s="261"/>
      <c r="V76" s="231"/>
      <c r="W76" s="231"/>
      <c r="X76" s="72">
        <v>45230</v>
      </c>
      <c r="Y76" s="73"/>
      <c r="Z76" s="63"/>
      <c r="AA76" s="74"/>
      <c r="AB76" s="119"/>
      <c r="AC76" s="76">
        <f t="shared" ref="AC76:AC79" si="175">SUM(D76:G76)</f>
        <v>300</v>
      </c>
      <c r="AD76" s="76">
        <f t="shared" ref="AD76:AD79" si="176">SUM(H76:N76)</f>
        <v>193.25</v>
      </c>
      <c r="AE76" s="71">
        <f t="shared" ref="AE76:AE79" si="177">IF(AD76/AC76&gt;=100%,100%,AD76/AC76)</f>
        <v>0.64416666666666667</v>
      </c>
      <c r="AF76" s="54">
        <f t="shared" si="148"/>
        <v>0.16500000000000001</v>
      </c>
      <c r="AG76" s="77">
        <v>0</v>
      </c>
      <c r="AH76" s="290">
        <v>0.16</v>
      </c>
      <c r="AI76" s="70">
        <v>0.25</v>
      </c>
      <c r="AJ76" s="70">
        <v>0.25</v>
      </c>
      <c r="AK76" s="301">
        <v>97949000</v>
      </c>
      <c r="AL76" s="301">
        <v>0</v>
      </c>
      <c r="AM76" s="301">
        <f>72931449+ 2000000+ 4680000-47231508-6680000</f>
        <v>25699941</v>
      </c>
      <c r="AN76" s="301">
        <v>82860237</v>
      </c>
      <c r="AO76" s="301">
        <v>69793101</v>
      </c>
      <c r="AP76" s="79">
        <f t="shared" si="169"/>
        <v>0.71254531439830937</v>
      </c>
      <c r="AQ76" s="80"/>
      <c r="AR76" s="81"/>
      <c r="AS76" s="83"/>
      <c r="AT76" s="343">
        <v>68491135</v>
      </c>
      <c r="AU76" s="329">
        <f>+AT76/AK76</f>
        <v>0.69925302963787273</v>
      </c>
      <c r="AV76" s="313"/>
      <c r="AW76" s="313"/>
      <c r="AX76" s="313"/>
      <c r="AY76" s="313"/>
      <c r="AZ76" s="313"/>
      <c r="BA76" s="313"/>
      <c r="BB76" s="313"/>
      <c r="BC76" s="328" t="e">
        <f t="shared" si="165"/>
        <v>#DIV/0!</v>
      </c>
      <c r="BD76" s="317">
        <f>174809000+AK76</f>
        <v>272758000</v>
      </c>
      <c r="BE76" s="312">
        <f>+AL76+AM76+AN76+AO76</f>
        <v>178353279</v>
      </c>
      <c r="BF76" s="328">
        <f t="shared" si="167"/>
        <v>0.65388835157905545</v>
      </c>
      <c r="BG76" s="312">
        <f>SUM(AQ76:AT76)+AX76+AZ76+BB76</f>
        <v>68491135</v>
      </c>
      <c r="BH76" s="328">
        <f t="shared" si="145"/>
        <v>0.25110587040526766</v>
      </c>
      <c r="BI76" s="85"/>
      <c r="BJ76" s="254" t="s">
        <v>81</v>
      </c>
      <c r="BK76" s="254" t="s">
        <v>83</v>
      </c>
      <c r="BL76" s="231" t="s">
        <v>230</v>
      </c>
      <c r="BM76" s="10"/>
      <c r="BN76" s="10"/>
      <c r="BO76" s="10"/>
    </row>
    <row r="77" spans="1:67" ht="27.75" customHeight="1">
      <c r="A77" s="231" t="s">
        <v>544</v>
      </c>
      <c r="B77" s="241" t="s">
        <v>545</v>
      </c>
      <c r="C77" s="241" t="s">
        <v>241</v>
      </c>
      <c r="D77" s="64">
        <v>27</v>
      </c>
      <c r="E77" s="65">
        <v>27</v>
      </c>
      <c r="F77" s="220">
        <v>27</v>
      </c>
      <c r="G77" s="222">
        <v>27</v>
      </c>
      <c r="H77" s="64">
        <v>27</v>
      </c>
      <c r="I77" s="65">
        <v>27</v>
      </c>
      <c r="J77" s="67">
        <v>27</v>
      </c>
      <c r="K77" s="234">
        <v>27</v>
      </c>
      <c r="L77" s="68"/>
      <c r="M77" s="69"/>
      <c r="N77" s="69"/>
      <c r="O77" s="70">
        <v>1</v>
      </c>
      <c r="P77" s="70">
        <f t="shared" ref="P77:Q77" si="178">IF((I77+M77)/E77&gt;=100%,100%,(I77+M77)/E77)</f>
        <v>1</v>
      </c>
      <c r="Q77" s="70">
        <f t="shared" si="178"/>
        <v>1</v>
      </c>
      <c r="R77" s="70">
        <f t="shared" si="174"/>
        <v>1</v>
      </c>
      <c r="S77" s="256" t="s">
        <v>546</v>
      </c>
      <c r="T77" s="256" t="s">
        <v>547</v>
      </c>
      <c r="U77" s="256" t="s">
        <v>548</v>
      </c>
      <c r="V77" s="231" t="s">
        <v>549</v>
      </c>
      <c r="W77" s="256" t="s">
        <v>550</v>
      </c>
      <c r="X77" s="72">
        <v>45230</v>
      </c>
      <c r="Y77" s="73"/>
      <c r="Z77" s="73"/>
      <c r="AA77" s="85"/>
      <c r="AB77" s="89"/>
      <c r="AC77" s="89">
        <f t="shared" si="175"/>
        <v>108</v>
      </c>
      <c r="AD77" s="89">
        <f t="shared" si="176"/>
        <v>108</v>
      </c>
      <c r="AE77" s="90">
        <f t="shared" si="177"/>
        <v>1</v>
      </c>
      <c r="AF77" s="54">
        <f t="shared" si="148"/>
        <v>0.40475</v>
      </c>
      <c r="AG77" s="94">
        <v>0.749</v>
      </c>
      <c r="AH77" s="291">
        <v>0.37</v>
      </c>
      <c r="AI77" s="84">
        <v>0.25</v>
      </c>
      <c r="AJ77" s="84">
        <v>0.25</v>
      </c>
      <c r="AK77" s="301">
        <v>325000000</v>
      </c>
      <c r="AL77" s="301">
        <v>0</v>
      </c>
      <c r="AM77" s="301">
        <v>274858000</v>
      </c>
      <c r="AN77" s="301">
        <v>169616627</v>
      </c>
      <c r="AO77" s="301">
        <v>239487339</v>
      </c>
      <c r="AP77" s="79">
        <f t="shared" si="169"/>
        <v>0.73688412000000003</v>
      </c>
      <c r="AQ77" s="80"/>
      <c r="AR77" s="93"/>
      <c r="AS77" s="82"/>
      <c r="AT77" s="343">
        <v>121869239</v>
      </c>
      <c r="AU77" s="329">
        <f>+AT77/AK77</f>
        <v>0.37498227384615385</v>
      </c>
      <c r="AV77" s="313"/>
      <c r="AW77" s="313"/>
      <c r="AX77" s="313"/>
      <c r="AY77" s="313"/>
      <c r="AZ77" s="313"/>
      <c r="BA77" s="313"/>
      <c r="BB77" s="313"/>
      <c r="BC77" s="334" t="e">
        <f t="shared" si="165"/>
        <v>#DIV/0!</v>
      </c>
      <c r="BD77" s="317">
        <f>554398000+AK77</f>
        <v>879398000</v>
      </c>
      <c r="BE77" s="312">
        <f>+AL77+AM77+AN77+AO77</f>
        <v>683961966</v>
      </c>
      <c r="BF77" s="328">
        <f t="shared" si="167"/>
        <v>0.77776156643522043</v>
      </c>
      <c r="BG77" s="312">
        <f>SUM(AQ77:AT77)+AX77+AZ77+BB77</f>
        <v>121869239</v>
      </c>
      <c r="BH77" s="328">
        <f t="shared" si="145"/>
        <v>0.13858257467039953</v>
      </c>
      <c r="BI77" s="85"/>
      <c r="BJ77" s="254" t="s">
        <v>75</v>
      </c>
      <c r="BK77" s="254" t="s">
        <v>99</v>
      </c>
      <c r="BL77" s="231" t="s">
        <v>543</v>
      </c>
      <c r="BM77" s="14"/>
      <c r="BN77" s="14"/>
      <c r="BO77" s="14"/>
    </row>
    <row r="78" spans="1:67" ht="28.5" customHeight="1">
      <c r="A78" s="231" t="s">
        <v>551</v>
      </c>
      <c r="B78" s="241" t="s">
        <v>551</v>
      </c>
      <c r="C78" s="241" t="s">
        <v>241</v>
      </c>
      <c r="D78" s="64">
        <v>4</v>
      </c>
      <c r="E78" s="65">
        <v>4</v>
      </c>
      <c r="F78" s="220">
        <v>4</v>
      </c>
      <c r="G78" s="222">
        <v>4</v>
      </c>
      <c r="H78" s="64">
        <v>4</v>
      </c>
      <c r="I78" s="65">
        <v>4</v>
      </c>
      <c r="J78" s="67">
        <v>4</v>
      </c>
      <c r="K78" s="234">
        <v>4</v>
      </c>
      <c r="L78" s="68"/>
      <c r="M78" s="69"/>
      <c r="N78" s="69"/>
      <c r="O78" s="70">
        <v>1</v>
      </c>
      <c r="P78" s="70">
        <f t="shared" ref="P78:Q78" si="179">IF((I78+M78)/E78&gt;=100%,100%,(I78+M78)/E78)</f>
        <v>1</v>
      </c>
      <c r="Q78" s="70">
        <f t="shared" si="179"/>
        <v>1</v>
      </c>
      <c r="R78" s="70">
        <f t="shared" si="174"/>
        <v>1</v>
      </c>
      <c r="S78" s="258" t="s">
        <v>552</v>
      </c>
      <c r="T78" s="256" t="s">
        <v>553</v>
      </c>
      <c r="U78" s="256" t="s">
        <v>554</v>
      </c>
      <c r="V78" s="231" t="s">
        <v>555</v>
      </c>
      <c r="W78" s="256" t="s">
        <v>556</v>
      </c>
      <c r="X78" s="72">
        <v>45230</v>
      </c>
      <c r="Y78" s="73"/>
      <c r="Z78" s="73"/>
      <c r="AA78" s="85"/>
      <c r="AB78" s="89"/>
      <c r="AC78" s="89">
        <f t="shared" si="175"/>
        <v>16</v>
      </c>
      <c r="AD78" s="89">
        <f t="shared" si="176"/>
        <v>16</v>
      </c>
      <c r="AE78" s="90">
        <f t="shared" si="177"/>
        <v>1</v>
      </c>
      <c r="AF78" s="54">
        <f t="shared" si="148"/>
        <v>0.1925</v>
      </c>
      <c r="AG78" s="94">
        <v>0.05</v>
      </c>
      <c r="AH78" s="291">
        <v>0.37</v>
      </c>
      <c r="AI78" s="84">
        <v>0.1</v>
      </c>
      <c r="AJ78" s="84">
        <v>0.25</v>
      </c>
      <c r="AK78" s="301">
        <v>698800000</v>
      </c>
      <c r="AL78" s="301">
        <v>342247794</v>
      </c>
      <c r="AM78" s="301">
        <v>699680538</v>
      </c>
      <c r="AN78" s="301">
        <v>230000000</v>
      </c>
      <c r="AO78" s="301">
        <v>524234512</v>
      </c>
      <c r="AP78" s="79">
        <f t="shared" si="169"/>
        <v>0.75019248998282773</v>
      </c>
      <c r="AQ78" s="80"/>
      <c r="AR78" s="93"/>
      <c r="AS78" s="82"/>
      <c r="AT78" s="343">
        <v>353525104</v>
      </c>
      <c r="AU78" s="329">
        <f>+AT78/AK78</f>
        <v>0.50590312535775617</v>
      </c>
      <c r="AV78" s="313"/>
      <c r="AW78" s="313"/>
      <c r="AX78" s="313"/>
      <c r="AY78" s="313"/>
      <c r="AZ78" s="313"/>
      <c r="BA78" s="313"/>
      <c r="BB78" s="313"/>
      <c r="BC78" s="334" t="e">
        <f t="shared" si="165"/>
        <v>#DIV/0!</v>
      </c>
      <c r="BD78" s="317">
        <f>1305216566+AK78</f>
        <v>2004016566</v>
      </c>
      <c r="BE78" s="312">
        <f>+AL78+AM78+AN78+AO78</f>
        <v>1796162844</v>
      </c>
      <c r="BF78" s="328">
        <f t="shared" si="167"/>
        <v>0.89628143523041115</v>
      </c>
      <c r="BG78" s="312">
        <f>SUM(AQ78:AT78)+AX78+AZ78+BB78</f>
        <v>353525104</v>
      </c>
      <c r="BH78" s="328">
        <f t="shared" si="145"/>
        <v>0.1764082742617408</v>
      </c>
      <c r="BI78" s="85"/>
      <c r="BJ78" s="254" t="s">
        <v>75</v>
      </c>
      <c r="BK78" s="254" t="s">
        <v>80</v>
      </c>
      <c r="BL78" s="231" t="s">
        <v>282</v>
      </c>
      <c r="BM78" s="14"/>
      <c r="BN78" s="14"/>
      <c r="BO78" s="14"/>
    </row>
    <row r="79" spans="1:67" ht="32.25" customHeight="1">
      <c r="A79" s="231" t="s">
        <v>557</v>
      </c>
      <c r="B79" s="241" t="s">
        <v>558</v>
      </c>
      <c r="C79" s="241" t="s">
        <v>241</v>
      </c>
      <c r="D79" s="64">
        <v>1</v>
      </c>
      <c r="E79" s="65">
        <v>1</v>
      </c>
      <c r="F79" s="220">
        <v>1</v>
      </c>
      <c r="G79" s="221">
        <v>1</v>
      </c>
      <c r="H79" s="64">
        <v>1</v>
      </c>
      <c r="I79" s="65">
        <v>1</v>
      </c>
      <c r="J79" s="67">
        <v>1</v>
      </c>
      <c r="K79" s="234">
        <v>1</v>
      </c>
      <c r="L79" s="68"/>
      <c r="M79" s="69"/>
      <c r="N79" s="69"/>
      <c r="O79" s="70">
        <v>1</v>
      </c>
      <c r="P79" s="70">
        <f t="shared" ref="P79:Q79" si="180">IF((I79+M79)/E79&gt;=100%,100%,(I79+M79)/E79)</f>
        <v>1</v>
      </c>
      <c r="Q79" s="70">
        <f t="shared" si="180"/>
        <v>1</v>
      </c>
      <c r="R79" s="71">
        <f t="shared" si="174"/>
        <v>1</v>
      </c>
      <c r="S79" s="258" t="s">
        <v>559</v>
      </c>
      <c r="T79" s="256" t="s">
        <v>560</v>
      </c>
      <c r="U79" s="256" t="s">
        <v>561</v>
      </c>
      <c r="V79" s="231"/>
      <c r="W79" s="256"/>
      <c r="X79" s="72">
        <v>45230</v>
      </c>
      <c r="Y79" s="73"/>
      <c r="Z79" s="63"/>
      <c r="AA79" s="74"/>
      <c r="AB79" s="76"/>
      <c r="AC79" s="76">
        <f t="shared" si="175"/>
        <v>4</v>
      </c>
      <c r="AD79" s="76">
        <f t="shared" si="176"/>
        <v>4</v>
      </c>
      <c r="AE79" s="71">
        <f t="shared" si="177"/>
        <v>1</v>
      </c>
      <c r="AF79" s="54">
        <f t="shared" si="148"/>
        <v>0.2</v>
      </c>
      <c r="AG79" s="77">
        <v>0.2</v>
      </c>
      <c r="AH79" s="292">
        <v>0.1</v>
      </c>
      <c r="AI79" s="70">
        <v>0.25</v>
      </c>
      <c r="AJ79" s="70">
        <v>0.25</v>
      </c>
      <c r="AK79" s="301">
        <v>35434512</v>
      </c>
      <c r="AL79" s="301">
        <v>35140000</v>
      </c>
      <c r="AM79" s="301">
        <v>0</v>
      </c>
      <c r="AN79" s="301">
        <v>0</v>
      </c>
      <c r="AO79" s="301">
        <v>0</v>
      </c>
      <c r="AP79" s="79">
        <f t="shared" si="169"/>
        <v>0</v>
      </c>
      <c r="AQ79" s="80"/>
      <c r="AR79" s="81"/>
      <c r="AS79" s="83"/>
      <c r="AT79" s="344">
        <v>0</v>
      </c>
      <c r="AU79" s="329">
        <f>+AT79/AK79</f>
        <v>0</v>
      </c>
      <c r="AV79" s="313"/>
      <c r="AW79" s="313"/>
      <c r="AX79" s="313"/>
      <c r="AY79" s="313"/>
      <c r="AZ79" s="313"/>
      <c r="BA79" s="313"/>
      <c r="BB79" s="313"/>
      <c r="BC79" s="328" t="e">
        <f t="shared" si="165"/>
        <v>#DIV/0!</v>
      </c>
      <c r="BD79" s="317">
        <f>35140000+AK79</f>
        <v>70574512</v>
      </c>
      <c r="BE79" s="312">
        <f>+AL79+AM79+AN79+AO79</f>
        <v>35140000</v>
      </c>
      <c r="BF79" s="328">
        <f t="shared" si="167"/>
        <v>0.4979134676836306</v>
      </c>
      <c r="BG79" s="312">
        <f>SUM(AQ79:AT79)+AX79+AZ79+BB79</f>
        <v>0</v>
      </c>
      <c r="BH79" s="328">
        <f t="shared" si="145"/>
        <v>0</v>
      </c>
      <c r="BI79" s="85"/>
      <c r="BJ79" s="254" t="s">
        <v>75</v>
      </c>
      <c r="BK79" s="254" t="s">
        <v>99</v>
      </c>
      <c r="BL79" s="231" t="s">
        <v>543</v>
      </c>
      <c r="BM79" s="10"/>
      <c r="BN79" s="10"/>
      <c r="BO79" s="10"/>
    </row>
    <row r="80" spans="1:67" ht="20.100000000000001" customHeight="1">
      <c r="A80" s="31" t="s">
        <v>562</v>
      </c>
      <c r="B80" s="32"/>
      <c r="C80" s="133"/>
      <c r="D80" s="33"/>
      <c r="E80" s="34"/>
      <c r="F80" s="34"/>
      <c r="G80" s="34"/>
      <c r="H80" s="34"/>
      <c r="I80" s="34"/>
      <c r="J80" s="34"/>
      <c r="K80" s="34"/>
      <c r="L80" s="34"/>
      <c r="M80" s="34"/>
      <c r="N80" s="34"/>
      <c r="O80" s="36"/>
      <c r="P80" s="36"/>
      <c r="Q80" s="36"/>
      <c r="R80" s="35">
        <f>+R81</f>
        <v>0.78362928000000009</v>
      </c>
      <c r="S80" s="262"/>
      <c r="T80" s="262"/>
      <c r="U80" s="262"/>
      <c r="V80" s="36"/>
      <c r="W80" s="36"/>
      <c r="X80" s="36"/>
      <c r="Y80" s="36"/>
      <c r="Z80" s="36"/>
      <c r="AA80" s="36"/>
      <c r="AB80" s="36"/>
      <c r="AC80" s="37"/>
      <c r="AD80" s="37"/>
      <c r="AE80" s="35"/>
      <c r="AF80" s="35"/>
      <c r="AG80" s="35"/>
      <c r="AH80" s="286"/>
      <c r="AI80" s="35"/>
      <c r="AJ80" s="35"/>
      <c r="AK80" s="302"/>
      <c r="AL80" s="302"/>
      <c r="AM80" s="302"/>
      <c r="AN80" s="302"/>
      <c r="AO80" s="302"/>
      <c r="AP80" s="38"/>
      <c r="AQ80" s="39"/>
      <c r="AR80" s="39"/>
      <c r="AS80" s="39"/>
      <c r="AT80" s="335"/>
      <c r="AU80" s="339"/>
      <c r="AV80" s="316"/>
      <c r="AW80" s="316"/>
      <c r="AX80" s="316"/>
      <c r="AY80" s="316"/>
      <c r="AZ80" s="316"/>
      <c r="BA80" s="316"/>
      <c r="BB80" s="316"/>
      <c r="BC80" s="337"/>
      <c r="BD80" s="298"/>
      <c r="BE80" s="298"/>
      <c r="BF80" s="338"/>
      <c r="BG80" s="298"/>
      <c r="BH80" s="338"/>
      <c r="BI80" s="33"/>
      <c r="BJ80" s="348"/>
      <c r="BK80" s="348"/>
      <c r="BL80" s="348"/>
      <c r="BM80" s="10"/>
      <c r="BN80" s="10"/>
      <c r="BO80" s="10"/>
    </row>
    <row r="81" spans="1:67" ht="33" customHeight="1">
      <c r="A81" s="114" t="s">
        <v>563</v>
      </c>
      <c r="B81" s="43"/>
      <c r="C81" s="44"/>
      <c r="D81" s="49"/>
      <c r="E81" s="46"/>
      <c r="F81" s="46"/>
      <c r="G81" s="46"/>
      <c r="H81" s="46"/>
      <c r="I81" s="46"/>
      <c r="J81" s="46"/>
      <c r="K81" s="46"/>
      <c r="L81" s="46"/>
      <c r="M81" s="46"/>
      <c r="N81" s="46"/>
      <c r="O81" s="47">
        <f>+(O83*AG83)+(O91*AG91)</f>
        <v>0.96513700999999985</v>
      </c>
      <c r="P81" s="47">
        <f>+(P83*AH83)+(P91*AH91)</f>
        <v>0.77390000000000003</v>
      </c>
      <c r="Q81" s="47">
        <f>+(Q83*AI83)+(Q91*AI91)</f>
        <v>0.96347880000000008</v>
      </c>
      <c r="R81" s="47">
        <f>+(R83*AJ83)+(R91*AJ91)</f>
        <v>0.78362928000000009</v>
      </c>
      <c r="S81" s="263"/>
      <c r="T81" s="263"/>
      <c r="U81" s="263"/>
      <c r="V81" s="263"/>
      <c r="W81" s="263"/>
      <c r="X81" s="106"/>
      <c r="Y81" s="49"/>
      <c r="Z81" s="49"/>
      <c r="AA81" s="49"/>
      <c r="AB81" s="49"/>
      <c r="AC81" s="108"/>
      <c r="AD81" s="108"/>
      <c r="AE81" s="47">
        <f>+AE82</f>
        <v>0.8487711263383334</v>
      </c>
      <c r="AF81" s="47"/>
      <c r="AG81" s="47"/>
      <c r="AH81" s="248"/>
      <c r="AI81" s="47"/>
      <c r="AJ81" s="47"/>
      <c r="AK81" s="303">
        <f t="shared" ref="AK81:AO81" si="181">+AK83+AK91</f>
        <v>6807031364</v>
      </c>
      <c r="AL81" s="303">
        <f t="shared" si="181"/>
        <v>4053071905</v>
      </c>
      <c r="AM81" s="303">
        <f t="shared" si="181"/>
        <v>8061741101</v>
      </c>
      <c r="AN81" s="303">
        <f t="shared" si="181"/>
        <v>8661839603</v>
      </c>
      <c r="AO81" s="303">
        <f t="shared" si="181"/>
        <v>4050497509</v>
      </c>
      <c r="AP81" s="50">
        <f t="shared" ref="AP81:AP97" si="182">+AO81/AK81</f>
        <v>0.59504610635726751</v>
      </c>
      <c r="AQ81" s="51">
        <f t="shared" ref="AQ81:AS81" si="183">+AQ83+AQ91</f>
        <v>0</v>
      </c>
      <c r="AR81" s="51">
        <f t="shared" si="183"/>
        <v>0</v>
      </c>
      <c r="AS81" s="51">
        <f t="shared" si="183"/>
        <v>0</v>
      </c>
      <c r="AT81" s="319">
        <f>+AT82</f>
        <v>2454509495</v>
      </c>
      <c r="AU81" s="341">
        <f t="shared" ref="AU81:AU97" si="184">+AT81/AK81</f>
        <v>0.36058442568386556</v>
      </c>
      <c r="AV81" s="308">
        <f t="shared" ref="AV81:BB81" si="185">+AV83+AV91</f>
        <v>0</v>
      </c>
      <c r="AW81" s="308">
        <f t="shared" si="185"/>
        <v>0</v>
      </c>
      <c r="AX81" s="308">
        <f t="shared" si="185"/>
        <v>0</v>
      </c>
      <c r="AY81" s="308">
        <f t="shared" si="185"/>
        <v>0</v>
      </c>
      <c r="AZ81" s="308">
        <f t="shared" si="185"/>
        <v>0</v>
      </c>
      <c r="BA81" s="308">
        <f t="shared" si="185"/>
        <v>0</v>
      </c>
      <c r="BB81" s="308">
        <f t="shared" si="185"/>
        <v>0</v>
      </c>
      <c r="BC81" s="322" t="e">
        <f>+BB81/BA81</f>
        <v>#DIV/0!</v>
      </c>
      <c r="BD81" s="299">
        <f t="shared" ref="BD81:BE81" si="186">+BD83+BD91</f>
        <v>31032385279</v>
      </c>
      <c r="BE81" s="299">
        <f t="shared" si="186"/>
        <v>24827150118</v>
      </c>
      <c r="BF81" s="322">
        <f t="shared" ref="BF81:BF98" si="187">+BE81/BD81</f>
        <v>0.80004001931494584</v>
      </c>
      <c r="BG81" s="298">
        <f>+BG82</f>
        <v>2454509495</v>
      </c>
      <c r="BH81" s="322">
        <f t="shared" ref="BH81:BH98" si="188">+BG81/BD81</f>
        <v>7.9095096072456822E-2</v>
      </c>
      <c r="BI81" s="49"/>
      <c r="BJ81" s="349" t="s">
        <v>69</v>
      </c>
      <c r="BK81" s="349" t="s">
        <v>83</v>
      </c>
      <c r="BL81" s="349" t="s">
        <v>564</v>
      </c>
      <c r="BM81" s="10"/>
      <c r="BN81" s="10"/>
      <c r="BO81" s="10"/>
    </row>
    <row r="82" spans="1:67" ht="28.5" customHeight="1">
      <c r="A82" s="116" t="s">
        <v>565</v>
      </c>
      <c r="B82" s="43"/>
      <c r="C82" s="44"/>
      <c r="D82" s="49"/>
      <c r="E82" s="46"/>
      <c r="F82" s="46"/>
      <c r="G82" s="46"/>
      <c r="H82" s="46"/>
      <c r="I82" s="46"/>
      <c r="J82" s="46"/>
      <c r="K82" s="46"/>
      <c r="L82" s="46"/>
      <c r="M82" s="46"/>
      <c r="N82" s="46"/>
      <c r="O82" s="47">
        <f>+(O83*AG83)+(O91*AG91)</f>
        <v>0.96513700999999985</v>
      </c>
      <c r="P82" s="47">
        <f>+(P83*AH83)+(P91*AH91)</f>
        <v>0.77390000000000003</v>
      </c>
      <c r="Q82" s="47">
        <f>+(Q83*AI83)+(Q91*AI91)</f>
        <v>0.96347880000000008</v>
      </c>
      <c r="R82" s="47">
        <f>+(R83*AJ83)+(R91*AJ91)</f>
        <v>0.78362928000000009</v>
      </c>
      <c r="S82" s="263"/>
      <c r="T82" s="263"/>
      <c r="U82" s="263"/>
      <c r="V82" s="263"/>
      <c r="W82" s="263"/>
      <c r="X82" s="106"/>
      <c r="Y82" s="49"/>
      <c r="Z82" s="49"/>
      <c r="AA82" s="49"/>
      <c r="AB82" s="49"/>
      <c r="AC82" s="108"/>
      <c r="AD82" s="108"/>
      <c r="AE82" s="47">
        <f>+(AE83*AF83)+(AE91*AF91)</f>
        <v>0.8487711263383334</v>
      </c>
      <c r="AF82" s="47"/>
      <c r="AG82" s="47"/>
      <c r="AH82" s="248"/>
      <c r="AI82" s="47"/>
      <c r="AJ82" s="47"/>
      <c r="AK82" s="303">
        <f t="shared" ref="AK82:AO82" si="189">+AK83+AK91</f>
        <v>6807031364</v>
      </c>
      <c r="AL82" s="303">
        <f t="shared" si="189"/>
        <v>4053071905</v>
      </c>
      <c r="AM82" s="303">
        <f t="shared" si="189"/>
        <v>8061741101</v>
      </c>
      <c r="AN82" s="303">
        <f t="shared" si="189"/>
        <v>8661839603</v>
      </c>
      <c r="AO82" s="303">
        <f t="shared" si="189"/>
        <v>4050497509</v>
      </c>
      <c r="AP82" s="50">
        <f t="shared" si="182"/>
        <v>0.59504610635726751</v>
      </c>
      <c r="AQ82" s="51"/>
      <c r="AR82" s="51"/>
      <c r="AS82" s="51"/>
      <c r="AT82" s="319">
        <f>+AT83+AT91</f>
        <v>2454509495</v>
      </c>
      <c r="AU82" s="341">
        <f t="shared" si="184"/>
        <v>0.36058442568386556</v>
      </c>
      <c r="AV82" s="308"/>
      <c r="AW82" s="308"/>
      <c r="AX82" s="308"/>
      <c r="AY82" s="308"/>
      <c r="AZ82" s="308"/>
      <c r="BA82" s="308"/>
      <c r="BB82" s="308"/>
      <c r="BC82" s="322"/>
      <c r="BD82" s="299">
        <f t="shared" ref="BD82:BE82" si="190">+BD83+BD91</f>
        <v>31032385279</v>
      </c>
      <c r="BE82" s="299">
        <f t="shared" si="190"/>
        <v>24827150118</v>
      </c>
      <c r="BF82" s="322">
        <f t="shared" si="187"/>
        <v>0.80004001931494584</v>
      </c>
      <c r="BG82" s="299">
        <f>+BG83+BG91</f>
        <v>2454509495</v>
      </c>
      <c r="BH82" s="322">
        <f t="shared" si="188"/>
        <v>7.9095096072456822E-2</v>
      </c>
      <c r="BI82" s="49"/>
      <c r="BJ82" s="349" t="s">
        <v>69</v>
      </c>
      <c r="BK82" s="349" t="s">
        <v>83</v>
      </c>
      <c r="BL82" s="349" t="s">
        <v>564</v>
      </c>
      <c r="BM82" s="10"/>
      <c r="BN82" s="10"/>
      <c r="BO82" s="10"/>
    </row>
    <row r="83" spans="1:67" ht="20.100000000000001" customHeight="1">
      <c r="A83" s="195" t="s">
        <v>566</v>
      </c>
      <c r="B83" s="53"/>
      <c r="C83" s="53"/>
      <c r="D83" s="53"/>
      <c r="E83" s="53"/>
      <c r="F83" s="53"/>
      <c r="G83" s="53"/>
      <c r="H83" s="53"/>
      <c r="I83" s="53"/>
      <c r="J83" s="53"/>
      <c r="K83" s="53"/>
      <c r="L83" s="53"/>
      <c r="M83" s="53"/>
      <c r="N83" s="53"/>
      <c r="O83" s="54">
        <f>+SUMPRODUCT(O84:O90,AG84:AG90)</f>
        <v>0.92498999999999998</v>
      </c>
      <c r="P83" s="54">
        <f>+SUMPRODUCT(P84:P90,AH84:AH90)</f>
        <v>0.89800000000000013</v>
      </c>
      <c r="Q83" s="54">
        <f>+SUMPRODUCT(Q84:Q90,AI84:AI90)</f>
        <v>0.94835760000000013</v>
      </c>
      <c r="R83" s="54">
        <f>+SUMPRODUCT(R84:R90,AJ84:AJ90)</f>
        <v>0.8884016400000001</v>
      </c>
      <c r="S83" s="259"/>
      <c r="T83" s="259"/>
      <c r="U83" s="259"/>
      <c r="V83" s="259"/>
      <c r="W83" s="259"/>
      <c r="X83" s="55"/>
      <c r="Y83" s="56"/>
      <c r="Z83" s="56"/>
      <c r="AA83" s="56"/>
      <c r="AB83" s="56"/>
      <c r="AC83" s="57"/>
      <c r="AD83" s="57"/>
      <c r="AE83" s="54">
        <f>+SUMPRODUCT(AE84:AE90,AF84:AF90)</f>
        <v>0.86828928999999999</v>
      </c>
      <c r="AF83" s="54">
        <f t="shared" ref="AF83:AF98" si="191">SUM(AG83:AJ83)/4</f>
        <v>0.48225000000000001</v>
      </c>
      <c r="AG83" s="54">
        <v>0.42899999999999999</v>
      </c>
      <c r="AH83" s="249">
        <v>0.5</v>
      </c>
      <c r="AI83" s="54">
        <v>0.5</v>
      </c>
      <c r="AJ83" s="54">
        <v>0.5</v>
      </c>
      <c r="AK83" s="296">
        <f t="shared" ref="AK83:AO83" si="192">SUM(AK84:AK90)</f>
        <v>1723419852</v>
      </c>
      <c r="AL83" s="296">
        <f t="shared" si="192"/>
        <v>884140434</v>
      </c>
      <c r="AM83" s="296">
        <f t="shared" si="192"/>
        <v>687503994</v>
      </c>
      <c r="AN83" s="296">
        <f t="shared" si="192"/>
        <v>2802803054</v>
      </c>
      <c r="AO83" s="296">
        <f t="shared" si="192"/>
        <v>1163440247</v>
      </c>
      <c r="AP83" s="60">
        <f t="shared" si="182"/>
        <v>0.67507650306444311</v>
      </c>
      <c r="AQ83" s="58">
        <f t="shared" ref="AQ83:AS83" si="193">SUM(AQ84:AQ90)</f>
        <v>0</v>
      </c>
      <c r="AR83" s="58">
        <f t="shared" si="193"/>
        <v>0</v>
      </c>
      <c r="AS83" s="58">
        <f t="shared" si="193"/>
        <v>0</v>
      </c>
      <c r="AT83" s="323">
        <f>+SUM(AT84:AT90)</f>
        <v>805519190</v>
      </c>
      <c r="AU83" s="331">
        <f t="shared" si="184"/>
        <v>0.46739579392984731</v>
      </c>
      <c r="AV83" s="310">
        <f t="shared" ref="AV83:BB83" si="194">SUM(AV84:AV90)</f>
        <v>0</v>
      </c>
      <c r="AW83" s="310">
        <f t="shared" si="194"/>
        <v>0</v>
      </c>
      <c r="AX83" s="310">
        <f t="shared" si="194"/>
        <v>0</v>
      </c>
      <c r="AY83" s="310">
        <f t="shared" si="194"/>
        <v>0</v>
      </c>
      <c r="AZ83" s="310">
        <f t="shared" si="194"/>
        <v>0</v>
      </c>
      <c r="BA83" s="310">
        <f t="shared" si="194"/>
        <v>0</v>
      </c>
      <c r="BB83" s="310">
        <f t="shared" si="194"/>
        <v>0</v>
      </c>
      <c r="BC83" s="325" t="e">
        <f t="shared" ref="BC83:BC84" si="195">+BB83/BA83</f>
        <v>#DIV/0!</v>
      </c>
      <c r="BD83" s="300">
        <f t="shared" ref="BD83:BE83" si="196">SUM(BD84:BD90)</f>
        <v>8411073083</v>
      </c>
      <c r="BE83" s="300">
        <f t="shared" si="196"/>
        <v>5537887729</v>
      </c>
      <c r="BF83" s="325">
        <f t="shared" si="187"/>
        <v>0.65840442406723054</v>
      </c>
      <c r="BG83" s="300">
        <f>SUM(BG84:BG90)</f>
        <v>805519190</v>
      </c>
      <c r="BH83" s="325">
        <f t="shared" si="188"/>
        <v>9.5768896792499794E-2</v>
      </c>
      <c r="BI83" s="56"/>
      <c r="BJ83" s="350" t="s">
        <v>69</v>
      </c>
      <c r="BK83" s="350" t="s">
        <v>83</v>
      </c>
      <c r="BL83" s="350" t="s">
        <v>564</v>
      </c>
      <c r="BM83" s="10"/>
      <c r="BN83" s="10"/>
      <c r="BO83" s="10"/>
    </row>
    <row r="84" spans="1:67" ht="20.100000000000001" customHeight="1">
      <c r="A84" s="231" t="s">
        <v>228</v>
      </c>
      <c r="B84" s="231"/>
      <c r="C84" s="241" t="s">
        <v>229</v>
      </c>
      <c r="D84" s="64">
        <v>0</v>
      </c>
      <c r="E84" s="65">
        <v>100</v>
      </c>
      <c r="F84" s="220">
        <v>100</v>
      </c>
      <c r="G84" s="66">
        <v>100</v>
      </c>
      <c r="H84" s="64">
        <v>0</v>
      </c>
      <c r="I84" s="65">
        <v>90</v>
      </c>
      <c r="J84" s="67">
        <v>94.2</v>
      </c>
      <c r="K84" s="233">
        <v>72.13</v>
      </c>
      <c r="L84" s="68"/>
      <c r="M84" s="69"/>
      <c r="N84" s="69"/>
      <c r="O84" s="70">
        <v>0</v>
      </c>
      <c r="P84" s="70">
        <f t="shared" ref="P84:Q84" si="197">IF((I84+M84)/E84&gt;=100%,100%,(I84+M84)/E84)</f>
        <v>0.9</v>
      </c>
      <c r="Q84" s="70">
        <f t="shared" si="197"/>
        <v>0.94200000000000006</v>
      </c>
      <c r="R84" s="71">
        <f t="shared" ref="R84:R90" si="198">IF(K84/G84&gt;=100%,100%,K84/G84)</f>
        <v>0.72129999999999994</v>
      </c>
      <c r="S84" s="261"/>
      <c r="T84" s="261"/>
      <c r="U84" s="261"/>
      <c r="V84" s="231"/>
      <c r="W84" s="231"/>
      <c r="X84" s="72">
        <v>45230</v>
      </c>
      <c r="Y84" s="73"/>
      <c r="Z84" s="63"/>
      <c r="AA84" s="74"/>
      <c r="AB84" s="74"/>
      <c r="AC84" s="76">
        <f t="shared" ref="AC84:AC90" si="199">SUM(D84:G84)</f>
        <v>300</v>
      </c>
      <c r="AD84" s="76">
        <f t="shared" ref="AD84:AD90" si="200">SUM(H84:N84)</f>
        <v>256.33</v>
      </c>
      <c r="AE84" s="70">
        <f t="shared" ref="AE84:AE90" si="201">IF(AD84/AC84&gt;=100%,100%,AD84/AC84)</f>
        <v>0.85443333333333327</v>
      </c>
      <c r="AF84" s="54">
        <f t="shared" si="191"/>
        <v>8.6400000000000005E-2</v>
      </c>
      <c r="AG84" s="77">
        <v>0</v>
      </c>
      <c r="AH84" s="289">
        <v>0.06</v>
      </c>
      <c r="AI84" s="70">
        <v>0.14280000000000001</v>
      </c>
      <c r="AJ84" s="70">
        <v>0.14280000000000001</v>
      </c>
      <c r="AK84" s="301">
        <v>111589000</v>
      </c>
      <c r="AL84" s="301">
        <v>0</v>
      </c>
      <c r="AM84" s="301">
        <f>82119874+643281</f>
        <v>82763155</v>
      </c>
      <c r="AN84" s="301">
        <v>92250613</v>
      </c>
      <c r="AO84" s="301">
        <v>80487845</v>
      </c>
      <c r="AP84" s="79">
        <f t="shared" si="182"/>
        <v>0.72128834383317353</v>
      </c>
      <c r="AQ84" s="80"/>
      <c r="AR84" s="80"/>
      <c r="AS84" s="80"/>
      <c r="AT84" s="343">
        <v>78996227</v>
      </c>
      <c r="AU84" s="329">
        <f t="shared" si="184"/>
        <v>0.70792127360223678</v>
      </c>
      <c r="AV84" s="313"/>
      <c r="AW84" s="313"/>
      <c r="AX84" s="313"/>
      <c r="AY84" s="313"/>
      <c r="AZ84" s="313"/>
      <c r="BA84" s="313"/>
      <c r="BB84" s="313"/>
      <c r="BC84" s="328" t="e">
        <f t="shared" si="195"/>
        <v>#DIV/0!</v>
      </c>
      <c r="BD84" s="317">
        <f>189930000+AK84</f>
        <v>301519000</v>
      </c>
      <c r="BE84" s="312">
        <f t="shared" ref="BE84:BE90" si="202">+AL84+AM84+AN84+AO84</f>
        <v>255501613</v>
      </c>
      <c r="BF84" s="328">
        <f t="shared" si="187"/>
        <v>0.84738146849783924</v>
      </c>
      <c r="BG84" s="312">
        <f t="shared" ref="BG84:BG90" si="203">SUM(AQ84:AT84)+AX84+AZ84+BB84</f>
        <v>78996227</v>
      </c>
      <c r="BH84" s="328">
        <f t="shared" si="188"/>
        <v>0.26199419273743946</v>
      </c>
      <c r="BI84" s="85"/>
      <c r="BJ84" s="254" t="s">
        <v>81</v>
      </c>
      <c r="BK84" s="254" t="s">
        <v>83</v>
      </c>
      <c r="BL84" s="231" t="s">
        <v>230</v>
      </c>
      <c r="BM84" s="10"/>
      <c r="BN84" s="10"/>
      <c r="BO84" s="10"/>
    </row>
    <row r="85" spans="1:67" ht="26.25" customHeight="1">
      <c r="A85" s="231" t="s">
        <v>567</v>
      </c>
      <c r="B85" s="241" t="s">
        <v>568</v>
      </c>
      <c r="C85" s="241" t="s">
        <v>569</v>
      </c>
      <c r="D85" s="64">
        <v>1</v>
      </c>
      <c r="E85" s="65">
        <v>2</v>
      </c>
      <c r="F85" s="220">
        <v>2</v>
      </c>
      <c r="G85" s="221">
        <v>2</v>
      </c>
      <c r="H85" s="64">
        <v>1</v>
      </c>
      <c r="I85" s="65">
        <v>2</v>
      </c>
      <c r="J85" s="67">
        <v>2</v>
      </c>
      <c r="K85" s="236">
        <v>2</v>
      </c>
      <c r="L85" s="68"/>
      <c r="M85" s="69"/>
      <c r="N85" s="69"/>
      <c r="O85" s="70">
        <f t="shared" ref="O85:Q85" si="204">IF((H85+L85)/D85&gt;=100%,100%,(H85+L85)/D85)</f>
        <v>1</v>
      </c>
      <c r="P85" s="70">
        <f t="shared" si="204"/>
        <v>1</v>
      </c>
      <c r="Q85" s="70">
        <f t="shared" si="204"/>
        <v>1</v>
      </c>
      <c r="R85" s="71">
        <f t="shared" si="198"/>
        <v>1</v>
      </c>
      <c r="S85" s="256" t="s">
        <v>570</v>
      </c>
      <c r="T85" s="256" t="s">
        <v>571</v>
      </c>
      <c r="U85" s="256" t="s">
        <v>572</v>
      </c>
      <c r="V85" s="231" t="s">
        <v>573</v>
      </c>
      <c r="W85" s="256" t="s">
        <v>574</v>
      </c>
      <c r="X85" s="72">
        <v>45230</v>
      </c>
      <c r="Y85" s="73"/>
      <c r="Z85" s="63"/>
      <c r="AA85" s="74"/>
      <c r="AB85" s="74"/>
      <c r="AC85" s="76">
        <f t="shared" si="199"/>
        <v>7</v>
      </c>
      <c r="AD85" s="76">
        <f t="shared" si="200"/>
        <v>7</v>
      </c>
      <c r="AE85" s="70">
        <f t="shared" si="201"/>
        <v>1</v>
      </c>
      <c r="AF85" s="54">
        <f t="shared" si="191"/>
        <v>0.21134999999999998</v>
      </c>
      <c r="AG85" s="77">
        <v>9.2799999999999994E-2</v>
      </c>
      <c r="AH85" s="285">
        <v>0.41</v>
      </c>
      <c r="AI85" s="70">
        <v>0.19980000000000001</v>
      </c>
      <c r="AJ85" s="70">
        <v>0.14280000000000001</v>
      </c>
      <c r="AK85" s="301">
        <v>1184330852</v>
      </c>
      <c r="AL85" s="301">
        <v>499788494</v>
      </c>
      <c r="AM85" s="301">
        <v>164988851</v>
      </c>
      <c r="AN85" s="301">
        <v>510232440</v>
      </c>
      <c r="AO85" s="301">
        <v>655452402</v>
      </c>
      <c r="AP85" s="79">
        <f t="shared" si="182"/>
        <v>0.55343690565277959</v>
      </c>
      <c r="AQ85" s="80"/>
      <c r="AR85" s="80"/>
      <c r="AS85" s="80"/>
      <c r="AT85" s="343">
        <v>655452402</v>
      </c>
      <c r="AU85" s="329">
        <f t="shared" si="184"/>
        <v>0.55343690565277959</v>
      </c>
      <c r="AV85" s="313"/>
      <c r="AW85" s="313"/>
      <c r="AX85" s="313"/>
      <c r="AY85" s="313"/>
      <c r="AZ85" s="313"/>
      <c r="BA85" s="313"/>
      <c r="BB85" s="313"/>
      <c r="BC85" s="328"/>
      <c r="BD85" s="317">
        <f>2145935020+AK85</f>
        <v>3330265872</v>
      </c>
      <c r="BE85" s="312">
        <f t="shared" si="202"/>
        <v>1830462187</v>
      </c>
      <c r="BF85" s="328">
        <f t="shared" si="187"/>
        <v>0.54964446003847467</v>
      </c>
      <c r="BG85" s="312">
        <f t="shared" si="203"/>
        <v>655452402</v>
      </c>
      <c r="BH85" s="328">
        <f t="shared" si="188"/>
        <v>0.19681683901302641</v>
      </c>
      <c r="BI85" s="85"/>
      <c r="BJ85" s="254" t="s">
        <v>67</v>
      </c>
      <c r="BK85" s="254" t="s">
        <v>76</v>
      </c>
      <c r="BL85" s="231" t="s">
        <v>225</v>
      </c>
      <c r="BM85" s="10"/>
      <c r="BN85" s="10"/>
      <c r="BO85" s="10"/>
    </row>
    <row r="86" spans="1:67" ht="33.75" customHeight="1">
      <c r="A86" s="231" t="s">
        <v>575</v>
      </c>
      <c r="B86" s="241" t="s">
        <v>576</v>
      </c>
      <c r="C86" s="241" t="s">
        <v>241</v>
      </c>
      <c r="D86" s="64">
        <v>1</v>
      </c>
      <c r="E86" s="65">
        <v>1</v>
      </c>
      <c r="F86" s="220">
        <v>1</v>
      </c>
      <c r="G86" s="222">
        <v>1</v>
      </c>
      <c r="H86" s="64">
        <v>1</v>
      </c>
      <c r="I86" s="65">
        <v>1</v>
      </c>
      <c r="J86" s="67">
        <v>0.3</v>
      </c>
      <c r="K86" s="234">
        <v>1</v>
      </c>
      <c r="L86" s="68"/>
      <c r="M86" s="69"/>
      <c r="N86" s="69"/>
      <c r="O86" s="70">
        <v>1</v>
      </c>
      <c r="P86" s="70">
        <f t="shared" ref="P86:Q86" si="205">IF((I86+M86)/E86&gt;=100%,100%,(I86+M86)/E86)</f>
        <v>1</v>
      </c>
      <c r="Q86" s="70">
        <f t="shared" si="205"/>
        <v>0.3</v>
      </c>
      <c r="R86" s="70">
        <f t="shared" si="198"/>
        <v>1</v>
      </c>
      <c r="S86" s="256" t="s">
        <v>577</v>
      </c>
      <c r="T86" s="256" t="s">
        <v>578</v>
      </c>
      <c r="U86" s="256" t="s">
        <v>579</v>
      </c>
      <c r="V86" s="231" t="s">
        <v>580</v>
      </c>
      <c r="W86" s="256" t="s">
        <v>581</v>
      </c>
      <c r="X86" s="72">
        <v>45230</v>
      </c>
      <c r="Y86" s="73"/>
      <c r="Z86" s="73"/>
      <c r="AA86" s="85"/>
      <c r="AB86" s="85"/>
      <c r="AC86" s="89">
        <f t="shared" si="199"/>
        <v>4</v>
      </c>
      <c r="AD86" s="89">
        <f t="shared" si="200"/>
        <v>3.3</v>
      </c>
      <c r="AE86" s="84">
        <f t="shared" si="201"/>
        <v>0.82499999999999996</v>
      </c>
      <c r="AF86" s="54">
        <f t="shared" si="191"/>
        <v>0.13890000000000002</v>
      </c>
      <c r="AG86" s="94">
        <v>0.25</v>
      </c>
      <c r="AH86" s="284">
        <v>0.02</v>
      </c>
      <c r="AI86" s="84">
        <v>0.14280000000000001</v>
      </c>
      <c r="AJ86" s="84">
        <v>0.14280000000000001</v>
      </c>
      <c r="AK86" s="301">
        <v>52500000</v>
      </c>
      <c r="AL86" s="301">
        <v>64864000</v>
      </c>
      <c r="AM86" s="301">
        <v>35000000</v>
      </c>
      <c r="AN86" s="301">
        <v>20000000</v>
      </c>
      <c r="AO86" s="301">
        <v>52500000</v>
      </c>
      <c r="AP86" s="92">
        <f t="shared" si="182"/>
        <v>1</v>
      </c>
      <c r="AQ86" s="80"/>
      <c r="AR86" s="80"/>
      <c r="AS86" s="80"/>
      <c r="AT86" s="343">
        <v>47250000</v>
      </c>
      <c r="AU86" s="329">
        <f t="shared" si="184"/>
        <v>0.9</v>
      </c>
      <c r="AV86" s="313"/>
      <c r="AW86" s="313"/>
      <c r="AX86" s="313"/>
      <c r="AY86" s="313"/>
      <c r="AZ86" s="313"/>
      <c r="BA86" s="313"/>
      <c r="BB86" s="313"/>
      <c r="BC86" s="334"/>
      <c r="BD86" s="317">
        <f>119864000+AK86</f>
        <v>172364000</v>
      </c>
      <c r="BE86" s="312">
        <f t="shared" si="202"/>
        <v>172364000</v>
      </c>
      <c r="BF86" s="328">
        <f t="shared" si="187"/>
        <v>1</v>
      </c>
      <c r="BG86" s="312">
        <f t="shared" si="203"/>
        <v>47250000</v>
      </c>
      <c r="BH86" s="328">
        <f t="shared" si="188"/>
        <v>0.27412916850386393</v>
      </c>
      <c r="BI86" s="85"/>
      <c r="BJ86" s="254" t="s">
        <v>69</v>
      </c>
      <c r="BK86" s="254" t="s">
        <v>83</v>
      </c>
      <c r="BL86" s="231" t="s">
        <v>564</v>
      </c>
      <c r="BM86" s="14"/>
      <c r="BN86" s="14"/>
      <c r="BO86" s="14"/>
    </row>
    <row r="87" spans="1:67" ht="49.5" customHeight="1">
      <c r="A87" s="231" t="s">
        <v>582</v>
      </c>
      <c r="B87" s="241" t="s">
        <v>582</v>
      </c>
      <c r="C87" s="241" t="s">
        <v>229</v>
      </c>
      <c r="D87" s="64">
        <v>100</v>
      </c>
      <c r="E87" s="65">
        <v>100</v>
      </c>
      <c r="F87" s="220">
        <v>100</v>
      </c>
      <c r="G87" s="221">
        <v>100</v>
      </c>
      <c r="H87" s="64">
        <v>0</v>
      </c>
      <c r="I87" s="65">
        <v>80</v>
      </c>
      <c r="J87" s="67">
        <v>100</v>
      </c>
      <c r="K87" s="236">
        <v>50</v>
      </c>
      <c r="L87" s="68"/>
      <c r="M87" s="69"/>
      <c r="N87" s="69"/>
      <c r="O87" s="70">
        <v>0.8</v>
      </c>
      <c r="P87" s="70">
        <f t="shared" ref="P87:Q87" si="206">IF((I87+M87)/E87&gt;=100%,100%,(I87+M87)/E87)</f>
        <v>0.8</v>
      </c>
      <c r="Q87" s="70">
        <f t="shared" si="206"/>
        <v>1</v>
      </c>
      <c r="R87" s="71">
        <f t="shared" si="198"/>
        <v>0.5</v>
      </c>
      <c r="S87" s="256"/>
      <c r="T87" s="256" t="s">
        <v>583</v>
      </c>
      <c r="U87" s="256" t="s">
        <v>584</v>
      </c>
      <c r="V87" s="231" t="s">
        <v>585</v>
      </c>
      <c r="W87" s="256" t="s">
        <v>586</v>
      </c>
      <c r="X87" s="72">
        <v>45230</v>
      </c>
      <c r="Y87" s="73"/>
      <c r="Z87" s="63"/>
      <c r="AA87" s="74"/>
      <c r="AB87" s="74"/>
      <c r="AC87" s="76">
        <f t="shared" si="199"/>
        <v>400</v>
      </c>
      <c r="AD87" s="76">
        <f t="shared" si="200"/>
        <v>230</v>
      </c>
      <c r="AE87" s="70">
        <f t="shared" si="201"/>
        <v>0.57499999999999996</v>
      </c>
      <c r="AF87" s="54">
        <f t="shared" si="191"/>
        <v>0.25164999999999998</v>
      </c>
      <c r="AG87" s="77">
        <v>0.29099999999999998</v>
      </c>
      <c r="AH87" s="285">
        <v>0.43</v>
      </c>
      <c r="AI87" s="70">
        <v>0.14280000000000001</v>
      </c>
      <c r="AJ87" s="70">
        <v>0.14280000000000001</v>
      </c>
      <c r="AK87" s="301">
        <v>225000000</v>
      </c>
      <c r="AL87" s="301">
        <v>209409620</v>
      </c>
      <c r="AM87" s="301">
        <v>309210684</v>
      </c>
      <c r="AN87" s="301">
        <v>1925967765</v>
      </c>
      <c r="AO87" s="301">
        <v>225000000</v>
      </c>
      <c r="AP87" s="79">
        <f t="shared" si="182"/>
        <v>1</v>
      </c>
      <c r="AQ87" s="80"/>
      <c r="AR87" s="80"/>
      <c r="AS87" s="80"/>
      <c r="AT87" s="344">
        <v>0</v>
      </c>
      <c r="AU87" s="329">
        <f t="shared" si="184"/>
        <v>0</v>
      </c>
      <c r="AV87" s="313"/>
      <c r="AW87" s="313"/>
      <c r="AX87" s="313"/>
      <c r="AY87" s="313"/>
      <c r="AZ87" s="313"/>
      <c r="BA87" s="313"/>
      <c r="BB87" s="313"/>
      <c r="BC87" s="328"/>
      <c r="BD87" s="317">
        <f>3757711665+AK87</f>
        <v>3982711665</v>
      </c>
      <c r="BE87" s="312">
        <f t="shared" si="202"/>
        <v>2669588069</v>
      </c>
      <c r="BF87" s="328">
        <f t="shared" si="187"/>
        <v>0.67029408441999283</v>
      </c>
      <c r="BG87" s="312">
        <f t="shared" si="203"/>
        <v>0</v>
      </c>
      <c r="BH87" s="328">
        <f t="shared" si="188"/>
        <v>0</v>
      </c>
      <c r="BI87" s="85"/>
      <c r="BJ87" s="254" t="s">
        <v>69</v>
      </c>
      <c r="BK87" s="254" t="s">
        <v>83</v>
      </c>
      <c r="BL87" s="231" t="s">
        <v>564</v>
      </c>
      <c r="BM87" s="10"/>
      <c r="BN87" s="10"/>
      <c r="BO87" s="10"/>
    </row>
    <row r="88" spans="1:67" ht="31.5" customHeight="1">
      <c r="A88" s="231" t="s">
        <v>587</v>
      </c>
      <c r="B88" s="241" t="s">
        <v>588</v>
      </c>
      <c r="C88" s="241" t="s">
        <v>241</v>
      </c>
      <c r="D88" s="64">
        <v>8</v>
      </c>
      <c r="E88" s="65">
        <v>8</v>
      </c>
      <c r="F88" s="220">
        <v>8</v>
      </c>
      <c r="G88" s="222">
        <v>8</v>
      </c>
      <c r="H88" s="64">
        <v>8</v>
      </c>
      <c r="I88" s="65">
        <v>8</v>
      </c>
      <c r="J88" s="67">
        <v>8</v>
      </c>
      <c r="K88" s="236">
        <v>8</v>
      </c>
      <c r="L88" s="68"/>
      <c r="M88" s="69"/>
      <c r="N88" s="69"/>
      <c r="O88" s="70">
        <v>1</v>
      </c>
      <c r="P88" s="70">
        <f t="shared" ref="P88:Q88" si="207">IF((I88+M88)/E88&gt;=100%,100%,(I88+M88)/E88)</f>
        <v>1</v>
      </c>
      <c r="Q88" s="70">
        <f t="shared" si="207"/>
        <v>1</v>
      </c>
      <c r="R88" s="70">
        <f t="shared" si="198"/>
        <v>1</v>
      </c>
      <c r="S88" s="256" t="s">
        <v>589</v>
      </c>
      <c r="T88" s="256" t="s">
        <v>590</v>
      </c>
      <c r="U88" s="256" t="s">
        <v>591</v>
      </c>
      <c r="V88" s="231"/>
      <c r="W88" s="256" t="s">
        <v>592</v>
      </c>
      <c r="X88" s="72">
        <v>45230</v>
      </c>
      <c r="Y88" s="73"/>
      <c r="Z88" s="73"/>
      <c r="AA88" s="85"/>
      <c r="AB88" s="85"/>
      <c r="AC88" s="89">
        <f t="shared" si="199"/>
        <v>32</v>
      </c>
      <c r="AD88" s="89">
        <f t="shared" si="200"/>
        <v>32</v>
      </c>
      <c r="AE88" s="84">
        <f t="shared" si="201"/>
        <v>1</v>
      </c>
      <c r="AF88" s="54">
        <f t="shared" si="191"/>
        <v>9.3024999999999997E-2</v>
      </c>
      <c r="AG88" s="94">
        <v>5.6500000000000002E-2</v>
      </c>
      <c r="AH88" s="284">
        <v>0.03</v>
      </c>
      <c r="AI88" s="84">
        <v>0.14280000000000001</v>
      </c>
      <c r="AJ88" s="84">
        <v>0.14280000000000001</v>
      </c>
      <c r="AK88" s="301">
        <v>40000000</v>
      </c>
      <c r="AL88" s="301">
        <v>30000000</v>
      </c>
      <c r="AM88" s="301">
        <v>50000000</v>
      </c>
      <c r="AN88" s="301">
        <v>114352236</v>
      </c>
      <c r="AO88" s="301">
        <v>40000000</v>
      </c>
      <c r="AP88" s="92">
        <f t="shared" si="182"/>
        <v>1</v>
      </c>
      <c r="AQ88" s="80"/>
      <c r="AR88" s="80"/>
      <c r="AS88" s="80"/>
      <c r="AT88" s="344">
        <v>0</v>
      </c>
      <c r="AU88" s="329">
        <f t="shared" si="184"/>
        <v>0</v>
      </c>
      <c r="AV88" s="313"/>
      <c r="AW88" s="313"/>
      <c r="AX88" s="313"/>
      <c r="AY88" s="313"/>
      <c r="AZ88" s="313"/>
      <c r="BA88" s="313"/>
      <c r="BB88" s="313"/>
      <c r="BC88" s="334" t="e">
        <f t="shared" ref="BC88:BC92" si="208">+BB88/BA88</f>
        <v>#DIV/0!</v>
      </c>
      <c r="BD88" s="317">
        <f>194442242+AK88</f>
        <v>234442242</v>
      </c>
      <c r="BE88" s="312">
        <f t="shared" si="202"/>
        <v>234352236</v>
      </c>
      <c r="BF88" s="328">
        <f t="shared" si="187"/>
        <v>0.99961608454503692</v>
      </c>
      <c r="BG88" s="312">
        <f t="shared" si="203"/>
        <v>0</v>
      </c>
      <c r="BH88" s="328">
        <f t="shared" si="188"/>
        <v>0</v>
      </c>
      <c r="BI88" s="85"/>
      <c r="BJ88" s="254" t="s">
        <v>79</v>
      </c>
      <c r="BK88" s="254" t="s">
        <v>101</v>
      </c>
      <c r="BL88" s="231" t="s">
        <v>593</v>
      </c>
      <c r="BM88" s="14"/>
      <c r="BN88" s="14"/>
      <c r="BO88" s="14"/>
    </row>
    <row r="89" spans="1:67" ht="30" customHeight="1">
      <c r="A89" s="231" t="s">
        <v>594</v>
      </c>
      <c r="B89" s="241" t="s">
        <v>595</v>
      </c>
      <c r="C89" s="241" t="s">
        <v>241</v>
      </c>
      <c r="D89" s="64">
        <v>6</v>
      </c>
      <c r="E89" s="65">
        <v>7</v>
      </c>
      <c r="F89" s="220">
        <v>8</v>
      </c>
      <c r="G89" s="222">
        <v>8</v>
      </c>
      <c r="H89" s="64">
        <v>6</v>
      </c>
      <c r="I89" s="65">
        <v>7</v>
      </c>
      <c r="J89" s="67">
        <v>8</v>
      </c>
      <c r="K89" s="236">
        <v>8</v>
      </c>
      <c r="L89" s="68"/>
      <c r="M89" s="69"/>
      <c r="N89" s="69"/>
      <c r="O89" s="70">
        <v>0.87</v>
      </c>
      <c r="P89" s="70">
        <f t="shared" ref="P89:Q89" si="209">IF((I89+M89)/E89&gt;=100%,100%,(I89+M89)/E89)</f>
        <v>1</v>
      </c>
      <c r="Q89" s="70">
        <f t="shared" si="209"/>
        <v>1</v>
      </c>
      <c r="R89" s="70">
        <f t="shared" si="198"/>
        <v>1</v>
      </c>
      <c r="S89" s="256" t="s">
        <v>596</v>
      </c>
      <c r="T89" s="256" t="s">
        <v>597</v>
      </c>
      <c r="U89" s="256" t="s">
        <v>598</v>
      </c>
      <c r="V89" s="231"/>
      <c r="W89" s="256" t="s">
        <v>599</v>
      </c>
      <c r="X89" s="72">
        <v>45230</v>
      </c>
      <c r="Y89" s="73"/>
      <c r="Z89" s="73"/>
      <c r="AA89" s="85"/>
      <c r="AB89" s="88"/>
      <c r="AC89" s="89">
        <f t="shared" si="199"/>
        <v>29</v>
      </c>
      <c r="AD89" s="89">
        <f t="shared" si="200"/>
        <v>29</v>
      </c>
      <c r="AE89" s="84">
        <f t="shared" si="201"/>
        <v>1</v>
      </c>
      <c r="AF89" s="54">
        <f t="shared" si="191"/>
        <v>0.11065</v>
      </c>
      <c r="AG89" s="94">
        <v>0.14699999999999999</v>
      </c>
      <c r="AH89" s="284">
        <v>0.01</v>
      </c>
      <c r="AI89" s="84">
        <v>0.14280000000000001</v>
      </c>
      <c r="AJ89" s="84">
        <v>0.14280000000000001</v>
      </c>
      <c r="AK89" s="301">
        <v>70000000</v>
      </c>
      <c r="AL89" s="301">
        <v>20000000</v>
      </c>
      <c r="AM89" s="301">
        <v>20000000</v>
      </c>
      <c r="AN89" s="301">
        <v>50000000</v>
      </c>
      <c r="AO89" s="301">
        <v>70000000</v>
      </c>
      <c r="AP89" s="122">
        <f t="shared" si="182"/>
        <v>1</v>
      </c>
      <c r="AQ89" s="80"/>
      <c r="AR89" s="80"/>
      <c r="AS89" s="80"/>
      <c r="AT89" s="343">
        <v>23820561</v>
      </c>
      <c r="AU89" s="329">
        <f t="shared" si="184"/>
        <v>0.34029372857142859</v>
      </c>
      <c r="AV89" s="313"/>
      <c r="AW89" s="313"/>
      <c r="AX89" s="313"/>
      <c r="AY89" s="313"/>
      <c r="AZ89" s="313"/>
      <c r="BA89" s="313"/>
      <c r="BB89" s="313"/>
      <c r="BC89" s="334" t="e">
        <f t="shared" si="208"/>
        <v>#DIV/0!</v>
      </c>
      <c r="BD89" s="317">
        <f>90000000+AK89</f>
        <v>160000000</v>
      </c>
      <c r="BE89" s="312">
        <f t="shared" si="202"/>
        <v>160000000</v>
      </c>
      <c r="BF89" s="328">
        <f t="shared" si="187"/>
        <v>1</v>
      </c>
      <c r="BG89" s="312">
        <f t="shared" si="203"/>
        <v>23820561</v>
      </c>
      <c r="BH89" s="328">
        <f t="shared" si="188"/>
        <v>0.14887850624999999</v>
      </c>
      <c r="BI89" s="85"/>
      <c r="BJ89" s="254" t="s">
        <v>79</v>
      </c>
      <c r="BK89" s="254" t="s">
        <v>83</v>
      </c>
      <c r="BL89" s="231" t="s">
        <v>230</v>
      </c>
      <c r="BM89" s="14"/>
      <c r="BN89" s="14"/>
      <c r="BO89" s="14"/>
    </row>
    <row r="90" spans="1:67" ht="47.25" customHeight="1">
      <c r="A90" s="231" t="s">
        <v>600</v>
      </c>
      <c r="B90" s="241" t="s">
        <v>601</v>
      </c>
      <c r="C90" s="241" t="s">
        <v>241</v>
      </c>
      <c r="D90" s="64">
        <v>8</v>
      </c>
      <c r="E90" s="65">
        <v>7</v>
      </c>
      <c r="F90" s="220">
        <v>8</v>
      </c>
      <c r="G90" s="222">
        <v>8</v>
      </c>
      <c r="H90" s="64">
        <v>8</v>
      </c>
      <c r="I90" s="65">
        <v>7</v>
      </c>
      <c r="J90" s="67">
        <v>8</v>
      </c>
      <c r="K90" s="236">
        <v>8</v>
      </c>
      <c r="L90" s="68"/>
      <c r="M90" s="69"/>
      <c r="N90" s="69"/>
      <c r="O90" s="70">
        <f t="shared" ref="O90:Q90" si="210">IF((H90+L90)/D90&gt;=100%,100%,(H90+L90)/D90)</f>
        <v>1</v>
      </c>
      <c r="P90" s="70">
        <f t="shared" si="210"/>
        <v>1</v>
      </c>
      <c r="Q90" s="70">
        <f t="shared" si="210"/>
        <v>1</v>
      </c>
      <c r="R90" s="70">
        <f t="shared" si="198"/>
        <v>1</v>
      </c>
      <c r="S90" s="256" t="s">
        <v>602</v>
      </c>
      <c r="T90" s="256" t="s">
        <v>603</v>
      </c>
      <c r="U90" s="256" t="s">
        <v>604</v>
      </c>
      <c r="V90" s="231" t="s">
        <v>605</v>
      </c>
      <c r="W90" s="256" t="s">
        <v>606</v>
      </c>
      <c r="X90" s="72">
        <v>45230</v>
      </c>
      <c r="Y90" s="73"/>
      <c r="Z90" s="73"/>
      <c r="AA90" s="85"/>
      <c r="AB90" s="88"/>
      <c r="AC90" s="89">
        <f t="shared" si="199"/>
        <v>31</v>
      </c>
      <c r="AD90" s="89">
        <f t="shared" si="200"/>
        <v>31</v>
      </c>
      <c r="AE90" s="90">
        <f t="shared" si="201"/>
        <v>1</v>
      </c>
      <c r="AF90" s="54">
        <f t="shared" si="191"/>
        <v>0.12015000000000001</v>
      </c>
      <c r="AG90" s="94">
        <v>0.16500000000000001</v>
      </c>
      <c r="AH90" s="284">
        <v>0.03</v>
      </c>
      <c r="AI90" s="84">
        <v>0.14280000000000001</v>
      </c>
      <c r="AJ90" s="84">
        <v>0.14280000000000001</v>
      </c>
      <c r="AK90" s="301">
        <v>40000000</v>
      </c>
      <c r="AL90" s="301">
        <v>60078320</v>
      </c>
      <c r="AM90" s="301">
        <v>25541304</v>
      </c>
      <c r="AN90" s="301">
        <v>90000000</v>
      </c>
      <c r="AO90" s="301">
        <v>40000000</v>
      </c>
      <c r="AP90" s="122">
        <f t="shared" si="182"/>
        <v>1</v>
      </c>
      <c r="AQ90" s="123"/>
      <c r="AR90" s="123"/>
      <c r="AS90" s="123"/>
      <c r="AT90" s="344">
        <v>0</v>
      </c>
      <c r="AU90" s="329">
        <f t="shared" si="184"/>
        <v>0</v>
      </c>
      <c r="AV90" s="318"/>
      <c r="AW90" s="318"/>
      <c r="AX90" s="318"/>
      <c r="AY90" s="318"/>
      <c r="AZ90" s="318"/>
      <c r="BA90" s="318"/>
      <c r="BB90" s="318"/>
      <c r="BC90" s="334" t="e">
        <f t="shared" si="208"/>
        <v>#DIV/0!</v>
      </c>
      <c r="BD90" s="317">
        <f>189770304+AK90</f>
        <v>229770304</v>
      </c>
      <c r="BE90" s="312">
        <f t="shared" si="202"/>
        <v>215619624</v>
      </c>
      <c r="BF90" s="328">
        <f t="shared" si="187"/>
        <v>0.93841379954826543</v>
      </c>
      <c r="BG90" s="312">
        <f t="shared" si="203"/>
        <v>0</v>
      </c>
      <c r="BH90" s="328">
        <f t="shared" si="188"/>
        <v>0</v>
      </c>
      <c r="BI90" s="85"/>
      <c r="BJ90" s="254" t="s">
        <v>79</v>
      </c>
      <c r="BK90" s="254" t="s">
        <v>83</v>
      </c>
      <c r="BL90" s="231" t="s">
        <v>230</v>
      </c>
      <c r="BM90" s="14"/>
      <c r="BN90" s="14"/>
      <c r="BO90" s="14"/>
    </row>
    <row r="91" spans="1:67" ht="27.75" customHeight="1">
      <c r="A91" s="195" t="s">
        <v>607</v>
      </c>
      <c r="B91" s="53"/>
      <c r="C91" s="53"/>
      <c r="D91" s="53"/>
      <c r="E91" s="53"/>
      <c r="F91" s="53"/>
      <c r="G91" s="53"/>
      <c r="H91" s="53"/>
      <c r="I91" s="53"/>
      <c r="J91" s="53"/>
      <c r="K91" s="53"/>
      <c r="L91" s="53"/>
      <c r="M91" s="53"/>
      <c r="N91" s="53"/>
      <c r="O91" s="54">
        <f>+SUMPRODUCT(O92:O98,AG92:AG98)</f>
        <v>0.99529999999999985</v>
      </c>
      <c r="P91" s="54">
        <f>+SUMPRODUCT(P92:P98,AH92:AH98)</f>
        <v>0.64980000000000004</v>
      </c>
      <c r="Q91" s="54">
        <f>+SUMPRODUCT(Q92:Q98,AI92:AI98)</f>
        <v>0.97860000000000003</v>
      </c>
      <c r="R91" s="54">
        <f>+SUMPRODUCT(R92:R98,AJ92:AJ98)</f>
        <v>0.67885692000000009</v>
      </c>
      <c r="S91" s="259"/>
      <c r="T91" s="259"/>
      <c r="U91" s="259"/>
      <c r="V91" s="259"/>
      <c r="W91" s="259"/>
      <c r="X91" s="55"/>
      <c r="Y91" s="56"/>
      <c r="Z91" s="56"/>
      <c r="AA91" s="56"/>
      <c r="AB91" s="56"/>
      <c r="AC91" s="57"/>
      <c r="AD91" s="57"/>
      <c r="AE91" s="54">
        <f>+SUMPRODUCT(AE92:AE98,AF92:AF98)</f>
        <v>0.83059124333333356</v>
      </c>
      <c r="AF91" s="54">
        <f t="shared" si="191"/>
        <v>0.51774999999999993</v>
      </c>
      <c r="AG91" s="54">
        <v>0.57099999999999995</v>
      </c>
      <c r="AH91" s="249">
        <v>0.5</v>
      </c>
      <c r="AI91" s="54">
        <v>0.5</v>
      </c>
      <c r="AJ91" s="54">
        <v>0.5</v>
      </c>
      <c r="AK91" s="296">
        <f t="shared" ref="AK91:AO91" si="211">SUM(AK92:AK98)</f>
        <v>5083611512</v>
      </c>
      <c r="AL91" s="296">
        <f t="shared" si="211"/>
        <v>3168931471</v>
      </c>
      <c r="AM91" s="296">
        <f t="shared" si="211"/>
        <v>7374237107</v>
      </c>
      <c r="AN91" s="296">
        <f t="shared" si="211"/>
        <v>5859036549</v>
      </c>
      <c r="AO91" s="296">
        <f t="shared" si="211"/>
        <v>2887057262</v>
      </c>
      <c r="AP91" s="60">
        <f t="shared" si="182"/>
        <v>0.56791461251219233</v>
      </c>
      <c r="AQ91" s="58">
        <f t="shared" ref="AQ91:AS91" si="212">SUM(AQ92:AQ98)</f>
        <v>0</v>
      </c>
      <c r="AR91" s="58">
        <f t="shared" si="212"/>
        <v>0</v>
      </c>
      <c r="AS91" s="58">
        <f t="shared" si="212"/>
        <v>0</v>
      </c>
      <c r="AT91" s="323">
        <f>+SUM(AT92:AT98)</f>
        <v>1648990305</v>
      </c>
      <c r="AU91" s="331">
        <f t="shared" si="184"/>
        <v>0.32437378448520598</v>
      </c>
      <c r="AV91" s="310">
        <f t="shared" ref="AV91:BB91" si="213">SUM(AV92:AV98)</f>
        <v>0</v>
      </c>
      <c r="AW91" s="310">
        <f t="shared" si="213"/>
        <v>0</v>
      </c>
      <c r="AX91" s="310">
        <f t="shared" si="213"/>
        <v>0</v>
      </c>
      <c r="AY91" s="310">
        <f t="shared" si="213"/>
        <v>0</v>
      </c>
      <c r="AZ91" s="310">
        <f t="shared" si="213"/>
        <v>0</v>
      </c>
      <c r="BA91" s="310">
        <f t="shared" si="213"/>
        <v>0</v>
      </c>
      <c r="BB91" s="310">
        <f t="shared" si="213"/>
        <v>0</v>
      </c>
      <c r="BC91" s="325" t="e">
        <f t="shared" si="208"/>
        <v>#DIV/0!</v>
      </c>
      <c r="BD91" s="300">
        <f t="shared" ref="BD91:BE91" si="214">SUM(BD92:BD98)</f>
        <v>22621312196</v>
      </c>
      <c r="BE91" s="300">
        <f t="shared" si="214"/>
        <v>19289262389</v>
      </c>
      <c r="BF91" s="325">
        <f t="shared" si="187"/>
        <v>0.85270307141646773</v>
      </c>
      <c r="BG91" s="300">
        <f>SUM(BG92:BG98)</f>
        <v>1648990305</v>
      </c>
      <c r="BH91" s="325">
        <f>+BG91/BD91</f>
        <v>7.2895431118782827E-2</v>
      </c>
      <c r="BI91" s="56"/>
      <c r="BJ91" s="350" t="s">
        <v>69</v>
      </c>
      <c r="BK91" s="350" t="s">
        <v>80</v>
      </c>
      <c r="BL91" s="350" t="s">
        <v>282</v>
      </c>
      <c r="BM91" s="10"/>
      <c r="BN91" s="10"/>
      <c r="BO91" s="10"/>
    </row>
    <row r="92" spans="1:67" ht="36" customHeight="1">
      <c r="A92" s="231" t="s">
        <v>228</v>
      </c>
      <c r="B92" s="231"/>
      <c r="C92" s="241" t="s">
        <v>229</v>
      </c>
      <c r="D92" s="64">
        <v>0</v>
      </c>
      <c r="E92" s="65">
        <v>100</v>
      </c>
      <c r="F92" s="220">
        <v>100</v>
      </c>
      <c r="G92" s="66">
        <v>100</v>
      </c>
      <c r="H92" s="64">
        <v>0</v>
      </c>
      <c r="I92" s="65">
        <v>94</v>
      </c>
      <c r="J92" s="67">
        <v>99</v>
      </c>
      <c r="K92" s="233">
        <v>75.39</v>
      </c>
      <c r="L92" s="68"/>
      <c r="M92" s="69"/>
      <c r="N92" s="69"/>
      <c r="O92" s="70">
        <v>0</v>
      </c>
      <c r="P92" s="71">
        <f t="shared" ref="P92:Q92" si="215">IF((I92+M92)/E92&gt;=100%,100%,(I92+M92)/E92)</f>
        <v>0.94</v>
      </c>
      <c r="Q92" s="71">
        <f t="shared" si="215"/>
        <v>0.99</v>
      </c>
      <c r="R92" s="125">
        <f t="shared" ref="R92:R98" si="216">IF(K92/G92&gt;=100%,100%,K92/G92)</f>
        <v>0.75390000000000001</v>
      </c>
      <c r="S92" s="269"/>
      <c r="T92" s="269"/>
      <c r="U92" s="269"/>
      <c r="V92" s="231"/>
      <c r="W92" s="231"/>
      <c r="X92" s="72">
        <v>45230</v>
      </c>
      <c r="Y92" s="73"/>
      <c r="Z92" s="63"/>
      <c r="AA92" s="74"/>
      <c r="AB92" s="75"/>
      <c r="AC92" s="76">
        <f t="shared" ref="AC92:AC98" si="217">SUM(D92:G92)</f>
        <v>300</v>
      </c>
      <c r="AD92" s="76">
        <f t="shared" ref="AD92:AD98" si="218">SUM(H92:N92)</f>
        <v>268.39</v>
      </c>
      <c r="AE92" s="70">
        <f t="shared" ref="AE92:AE98" si="219">IF(AD92/AC92&gt;=100%,100%,AD92/AC92)</f>
        <v>0.89463333333333328</v>
      </c>
      <c r="AF92" s="54">
        <f t="shared" si="191"/>
        <v>0.11320000000000002</v>
      </c>
      <c r="AG92" s="77">
        <v>0</v>
      </c>
      <c r="AH92" s="289">
        <v>0.17</v>
      </c>
      <c r="AI92" s="70">
        <v>0.14000000000000001</v>
      </c>
      <c r="AJ92" s="70">
        <v>0.14280000000000001</v>
      </c>
      <c r="AK92" s="301">
        <v>929206200</v>
      </c>
      <c r="AL92" s="301">
        <v>0</v>
      </c>
      <c r="AM92" s="301">
        <f>775668321+54065832</f>
        <v>829734153</v>
      </c>
      <c r="AN92" s="301">
        <v>839596300</v>
      </c>
      <c r="AO92" s="301">
        <v>700564627</v>
      </c>
      <c r="AP92" s="79">
        <f t="shared" si="182"/>
        <v>0.75393882111419408</v>
      </c>
      <c r="AQ92" s="121"/>
      <c r="AR92" s="81"/>
      <c r="AS92" s="83"/>
      <c r="AT92" s="343">
        <v>693807693</v>
      </c>
      <c r="AU92" s="329">
        <f t="shared" si="184"/>
        <v>0.74666709391306252</v>
      </c>
      <c r="AV92" s="313"/>
      <c r="AW92" s="313"/>
      <c r="AX92" s="313"/>
      <c r="AY92" s="313"/>
      <c r="AZ92" s="313"/>
      <c r="BA92" s="313"/>
      <c r="BB92" s="313"/>
      <c r="BC92" s="328" t="e">
        <f t="shared" si="208"/>
        <v>#DIV/0!</v>
      </c>
      <c r="BD92" s="317">
        <f>1760184253+AK92</f>
        <v>2689390453</v>
      </c>
      <c r="BE92" s="312">
        <f t="shared" ref="BE92:BE98" si="220">+AL92+AM92+AN92+AO92</f>
        <v>2369895080</v>
      </c>
      <c r="BF92" s="328">
        <f t="shared" si="187"/>
        <v>0.8812015664577062</v>
      </c>
      <c r="BG92" s="312">
        <f t="shared" ref="BG92:BG98" si="221">SUM(AQ92:AT92)+AX92+AZ92+BB92</f>
        <v>693807693</v>
      </c>
      <c r="BH92" s="328">
        <f t="shared" si="188"/>
        <v>0.25797953295552956</v>
      </c>
      <c r="BI92" s="85"/>
      <c r="BJ92" s="254" t="s">
        <v>81</v>
      </c>
      <c r="BK92" s="254" t="s">
        <v>83</v>
      </c>
      <c r="BL92" s="231" t="s">
        <v>230</v>
      </c>
      <c r="BM92" s="10"/>
      <c r="BN92" s="10"/>
      <c r="BO92" s="10"/>
    </row>
    <row r="93" spans="1:67" ht="57" customHeight="1">
      <c r="A93" s="231" t="s">
        <v>608</v>
      </c>
      <c r="B93" s="241" t="s">
        <v>609</v>
      </c>
      <c r="C93" s="241" t="s">
        <v>610</v>
      </c>
      <c r="D93" s="64">
        <v>255</v>
      </c>
      <c r="E93" s="65">
        <v>298</v>
      </c>
      <c r="F93" s="220">
        <v>100</v>
      </c>
      <c r="G93" s="222">
        <v>100</v>
      </c>
      <c r="H93" s="64">
        <v>255</v>
      </c>
      <c r="I93" s="65">
        <v>298.2</v>
      </c>
      <c r="J93" s="67">
        <v>100</v>
      </c>
      <c r="K93" s="233">
        <v>100</v>
      </c>
      <c r="L93" s="68"/>
      <c r="M93" s="69"/>
      <c r="N93" s="69"/>
      <c r="O93" s="70">
        <f t="shared" ref="O93:Q93" si="222">IF((H93+L93)/D93&gt;=100%,100%,(H93+L93)/D93)</f>
        <v>1</v>
      </c>
      <c r="P93" s="71">
        <f t="shared" si="222"/>
        <v>1</v>
      </c>
      <c r="Q93" s="71">
        <f t="shared" si="222"/>
        <v>1</v>
      </c>
      <c r="R93" s="198">
        <f t="shared" si="216"/>
        <v>1</v>
      </c>
      <c r="S93" s="231" t="s">
        <v>611</v>
      </c>
      <c r="T93" s="253" t="s">
        <v>612</v>
      </c>
      <c r="U93" s="270" t="s">
        <v>613</v>
      </c>
      <c r="V93" s="231" t="s">
        <v>614</v>
      </c>
      <c r="W93" s="256" t="s">
        <v>615</v>
      </c>
      <c r="X93" s="72">
        <v>45230</v>
      </c>
      <c r="Y93" s="73"/>
      <c r="Z93" s="73"/>
      <c r="AA93" s="85"/>
      <c r="AB93" s="88"/>
      <c r="AC93" s="89">
        <f t="shared" si="217"/>
        <v>753</v>
      </c>
      <c r="AD93" s="89">
        <f t="shared" si="218"/>
        <v>753.2</v>
      </c>
      <c r="AE93" s="84">
        <f t="shared" si="219"/>
        <v>1</v>
      </c>
      <c r="AF93" s="54">
        <f t="shared" si="191"/>
        <v>0.17570000000000002</v>
      </c>
      <c r="AG93" s="94">
        <v>0.11</v>
      </c>
      <c r="AH93" s="284">
        <v>0.31</v>
      </c>
      <c r="AI93" s="84">
        <v>0.14000000000000001</v>
      </c>
      <c r="AJ93" s="84">
        <v>0.14280000000000001</v>
      </c>
      <c r="AK93" s="301">
        <v>1850034734</v>
      </c>
      <c r="AL93" s="301">
        <v>1389512501</v>
      </c>
      <c r="AM93" s="301">
        <v>5615046653</v>
      </c>
      <c r="AN93" s="301">
        <v>3739563848</v>
      </c>
      <c r="AO93" s="301">
        <v>1155706180</v>
      </c>
      <c r="AP93" s="92">
        <f t="shared" si="182"/>
        <v>0.62469431452306989</v>
      </c>
      <c r="AQ93" s="80"/>
      <c r="AR93" s="93"/>
      <c r="AS93" s="82"/>
      <c r="AT93" s="343">
        <v>235740115</v>
      </c>
      <c r="AU93" s="329">
        <f t="shared" si="184"/>
        <v>0.12742469677328772</v>
      </c>
      <c r="AV93" s="313"/>
      <c r="AW93" s="313"/>
      <c r="AX93" s="313"/>
      <c r="AY93" s="313"/>
      <c r="AZ93" s="313"/>
      <c r="BA93" s="313"/>
      <c r="BB93" s="313"/>
      <c r="BC93" s="334"/>
      <c r="BD93" s="317">
        <f>10764627465+AK93</f>
        <v>12614662199</v>
      </c>
      <c r="BE93" s="312">
        <f t="shared" si="220"/>
        <v>11899829182</v>
      </c>
      <c r="BF93" s="328">
        <f t="shared" si="187"/>
        <v>0.94333316217879648</v>
      </c>
      <c r="BG93" s="312">
        <f t="shared" si="221"/>
        <v>235740115</v>
      </c>
      <c r="BH93" s="328">
        <f t="shared" si="188"/>
        <v>1.8687786583669899E-2</v>
      </c>
      <c r="BI93" s="85"/>
      <c r="BJ93" s="254" t="s">
        <v>67</v>
      </c>
      <c r="BK93" s="254" t="s">
        <v>93</v>
      </c>
      <c r="BL93" s="231" t="s">
        <v>564</v>
      </c>
      <c r="BM93" s="14"/>
      <c r="BN93" s="14"/>
      <c r="BO93" s="14"/>
    </row>
    <row r="94" spans="1:67" ht="31.5" customHeight="1">
      <c r="A94" s="231" t="s">
        <v>616</v>
      </c>
      <c r="B94" s="241" t="s">
        <v>617</v>
      </c>
      <c r="C94" s="241" t="s">
        <v>241</v>
      </c>
      <c r="D94" s="64">
        <v>100</v>
      </c>
      <c r="E94" s="65">
        <v>148</v>
      </c>
      <c r="F94" s="220">
        <v>100</v>
      </c>
      <c r="G94" s="221">
        <v>100</v>
      </c>
      <c r="H94" s="64">
        <v>84</v>
      </c>
      <c r="I94" s="65">
        <v>148</v>
      </c>
      <c r="J94" s="67">
        <v>100</v>
      </c>
      <c r="K94" s="233">
        <v>100</v>
      </c>
      <c r="L94" s="68"/>
      <c r="M94" s="69"/>
      <c r="N94" s="69"/>
      <c r="O94" s="70">
        <v>1</v>
      </c>
      <c r="P94" s="71">
        <f t="shared" ref="P94:Q94" si="223">IF((I94+M94)/E94&gt;=100%,100%,(I94+M94)/E94)</f>
        <v>1</v>
      </c>
      <c r="Q94" s="71">
        <f t="shared" si="223"/>
        <v>1</v>
      </c>
      <c r="R94" s="125">
        <f t="shared" si="216"/>
        <v>1</v>
      </c>
      <c r="S94" s="231" t="s">
        <v>618</v>
      </c>
      <c r="T94" s="253" t="s">
        <v>619</v>
      </c>
      <c r="U94" s="270" t="s">
        <v>620</v>
      </c>
      <c r="V94" s="231" t="s">
        <v>621</v>
      </c>
      <c r="W94" s="256" t="s">
        <v>622</v>
      </c>
      <c r="X94" s="72">
        <v>45230</v>
      </c>
      <c r="Y94" s="73"/>
      <c r="Z94" s="63"/>
      <c r="AA94" s="74"/>
      <c r="AB94" s="75"/>
      <c r="AC94" s="76">
        <f t="shared" si="217"/>
        <v>448</v>
      </c>
      <c r="AD94" s="76">
        <f t="shared" si="218"/>
        <v>432</v>
      </c>
      <c r="AE94" s="70">
        <f t="shared" si="219"/>
        <v>0.9642857142857143</v>
      </c>
      <c r="AF94" s="54">
        <f t="shared" si="191"/>
        <v>0.15745000000000001</v>
      </c>
      <c r="AG94" s="77">
        <v>0.247</v>
      </c>
      <c r="AH94" s="285">
        <v>0.1</v>
      </c>
      <c r="AI94" s="70">
        <v>0.14000000000000001</v>
      </c>
      <c r="AJ94" s="70">
        <v>0.14280000000000001</v>
      </c>
      <c r="AK94" s="301">
        <v>807094848</v>
      </c>
      <c r="AL94" s="301">
        <v>1235824516</v>
      </c>
      <c r="AM94" s="301">
        <v>589672894</v>
      </c>
      <c r="AN94" s="301">
        <v>587597692</v>
      </c>
      <c r="AO94" s="301">
        <v>450944595</v>
      </c>
      <c r="AP94" s="79">
        <f t="shared" si="182"/>
        <v>0.55872565178361788</v>
      </c>
      <c r="AQ94" s="121"/>
      <c r="AR94" s="81"/>
      <c r="AS94" s="83"/>
      <c r="AT94" s="343">
        <v>154259868</v>
      </c>
      <c r="AU94" s="329">
        <f t="shared" si="184"/>
        <v>0.19112978899847965</v>
      </c>
      <c r="AV94" s="313"/>
      <c r="AW94" s="313"/>
      <c r="AX94" s="313"/>
      <c r="AY94" s="313"/>
      <c r="AZ94" s="313"/>
      <c r="BA94" s="313"/>
      <c r="BB94" s="313"/>
      <c r="BC94" s="328"/>
      <c r="BD94" s="317">
        <f>3164602426+AK94</f>
        <v>3971697274</v>
      </c>
      <c r="BE94" s="312">
        <f t="shared" si="220"/>
        <v>2864039697</v>
      </c>
      <c r="BF94" s="328">
        <f t="shared" si="187"/>
        <v>0.72111228510514114</v>
      </c>
      <c r="BG94" s="312">
        <f t="shared" si="221"/>
        <v>154259868</v>
      </c>
      <c r="BH94" s="328">
        <f t="shared" si="188"/>
        <v>3.8839784947819263E-2</v>
      </c>
      <c r="BI94" s="85"/>
      <c r="BJ94" s="254" t="s">
        <v>67</v>
      </c>
      <c r="BK94" s="254" t="s">
        <v>70</v>
      </c>
      <c r="BL94" s="231" t="s">
        <v>564</v>
      </c>
      <c r="BM94" s="10"/>
      <c r="BN94" s="10"/>
      <c r="BO94" s="10"/>
    </row>
    <row r="95" spans="1:67" ht="45" customHeight="1">
      <c r="A95" s="231" t="s">
        <v>623</v>
      </c>
      <c r="B95" s="241" t="s">
        <v>624</v>
      </c>
      <c r="C95" s="241" t="s">
        <v>241</v>
      </c>
      <c r="D95" s="64">
        <v>10</v>
      </c>
      <c r="E95" s="65">
        <v>10</v>
      </c>
      <c r="F95" s="220">
        <v>10</v>
      </c>
      <c r="G95" s="222">
        <v>10</v>
      </c>
      <c r="H95" s="64">
        <v>10</v>
      </c>
      <c r="I95" s="65">
        <v>10</v>
      </c>
      <c r="J95" s="67">
        <v>10</v>
      </c>
      <c r="K95" s="233">
        <v>10</v>
      </c>
      <c r="L95" s="68"/>
      <c r="M95" s="69"/>
      <c r="N95" s="69"/>
      <c r="O95" s="70">
        <v>1</v>
      </c>
      <c r="P95" s="71">
        <f t="shared" ref="P95:Q95" si="224">IF((I95+M95)/E95&gt;=100%,100%,(I95+M95)/E95)</f>
        <v>1</v>
      </c>
      <c r="Q95" s="71">
        <f t="shared" si="224"/>
        <v>1</v>
      </c>
      <c r="R95" s="198">
        <f t="shared" si="216"/>
        <v>1</v>
      </c>
      <c r="S95" s="231" t="s">
        <v>625</v>
      </c>
      <c r="T95" s="252" t="s">
        <v>626</v>
      </c>
      <c r="U95" s="270" t="s">
        <v>627</v>
      </c>
      <c r="V95" s="231" t="s">
        <v>628</v>
      </c>
      <c r="W95" s="256" t="s">
        <v>629</v>
      </c>
      <c r="X95" s="72">
        <v>45230</v>
      </c>
      <c r="Y95" s="73"/>
      <c r="Z95" s="73"/>
      <c r="AA95" s="85"/>
      <c r="AB95" s="88"/>
      <c r="AC95" s="89">
        <f t="shared" si="217"/>
        <v>40</v>
      </c>
      <c r="AD95" s="89">
        <f t="shared" si="218"/>
        <v>40</v>
      </c>
      <c r="AE95" s="84">
        <f t="shared" si="219"/>
        <v>1</v>
      </c>
      <c r="AF95" s="54">
        <f t="shared" si="191"/>
        <v>0.12570000000000001</v>
      </c>
      <c r="AG95" s="94">
        <v>0.18</v>
      </c>
      <c r="AH95" s="284">
        <v>0.04</v>
      </c>
      <c r="AI95" s="84">
        <v>0.14000000000000001</v>
      </c>
      <c r="AJ95" s="84">
        <v>0.14280000000000001</v>
      </c>
      <c r="AK95" s="301">
        <v>605000000</v>
      </c>
      <c r="AL95" s="301">
        <v>270000000</v>
      </c>
      <c r="AM95" s="301">
        <v>187783407</v>
      </c>
      <c r="AN95" s="301">
        <v>393625172</v>
      </c>
      <c r="AO95" s="301">
        <v>318589227</v>
      </c>
      <c r="AP95" s="92">
        <f t="shared" si="182"/>
        <v>0.52659376363636368</v>
      </c>
      <c r="AQ95" s="80"/>
      <c r="AR95" s="93"/>
      <c r="AS95" s="82"/>
      <c r="AT95" s="343">
        <v>304772434</v>
      </c>
      <c r="AU95" s="329">
        <f t="shared" si="184"/>
        <v>0.5037560892561983</v>
      </c>
      <c r="AV95" s="313"/>
      <c r="AW95" s="313"/>
      <c r="AX95" s="313"/>
      <c r="AY95" s="313"/>
      <c r="AZ95" s="313"/>
      <c r="BA95" s="313"/>
      <c r="BB95" s="313"/>
      <c r="BC95" s="334"/>
      <c r="BD95" s="317">
        <f>981409322+AK95</f>
        <v>1586409322</v>
      </c>
      <c r="BE95" s="312">
        <f t="shared" si="220"/>
        <v>1169997806</v>
      </c>
      <c r="BF95" s="328">
        <f t="shared" si="187"/>
        <v>0.73751319396243442</v>
      </c>
      <c r="BG95" s="312">
        <f t="shared" si="221"/>
        <v>304772434</v>
      </c>
      <c r="BH95" s="328">
        <f t="shared" si="188"/>
        <v>0.19211462626541476</v>
      </c>
      <c r="BI95" s="85"/>
      <c r="BJ95" s="254" t="s">
        <v>69</v>
      </c>
      <c r="BK95" s="254" t="s">
        <v>80</v>
      </c>
      <c r="BL95" s="231" t="s">
        <v>564</v>
      </c>
      <c r="BM95" s="14"/>
      <c r="BN95" s="14"/>
      <c r="BO95" s="14"/>
    </row>
    <row r="96" spans="1:67" ht="31.5" customHeight="1">
      <c r="A96" s="231" t="s">
        <v>630</v>
      </c>
      <c r="B96" s="241" t="s">
        <v>631</v>
      </c>
      <c r="C96" s="241" t="s">
        <v>241</v>
      </c>
      <c r="D96" s="64">
        <v>1</v>
      </c>
      <c r="E96" s="65">
        <v>1</v>
      </c>
      <c r="F96" s="220">
        <v>11</v>
      </c>
      <c r="G96" s="222">
        <v>1</v>
      </c>
      <c r="H96" s="64">
        <v>1</v>
      </c>
      <c r="I96" s="65">
        <v>1</v>
      </c>
      <c r="J96" s="67">
        <v>11</v>
      </c>
      <c r="K96" s="233">
        <v>1</v>
      </c>
      <c r="L96" s="68"/>
      <c r="M96" s="69"/>
      <c r="N96" s="69"/>
      <c r="O96" s="70">
        <f t="shared" ref="O96:Q96" si="225">IF((H96+L96)/D96&gt;=100%,100%,(H96+L96)/D96)</f>
        <v>1</v>
      </c>
      <c r="P96" s="71">
        <f t="shared" si="225"/>
        <v>1</v>
      </c>
      <c r="Q96" s="71">
        <f t="shared" si="225"/>
        <v>1</v>
      </c>
      <c r="R96" s="70">
        <f t="shared" si="216"/>
        <v>1</v>
      </c>
      <c r="S96" s="231" t="s">
        <v>632</v>
      </c>
      <c r="T96" s="252" t="s">
        <v>633</v>
      </c>
      <c r="U96" s="270" t="s">
        <v>634</v>
      </c>
      <c r="V96" s="231" t="s">
        <v>635</v>
      </c>
      <c r="W96" s="256" t="s">
        <v>636</v>
      </c>
      <c r="X96" s="72">
        <v>45230</v>
      </c>
      <c r="Y96" s="73"/>
      <c r="Z96" s="73"/>
      <c r="AA96" s="85"/>
      <c r="AB96" s="88"/>
      <c r="AC96" s="89">
        <f t="shared" si="217"/>
        <v>14</v>
      </c>
      <c r="AD96" s="89">
        <f t="shared" si="218"/>
        <v>14</v>
      </c>
      <c r="AE96" s="84">
        <f t="shared" si="219"/>
        <v>1</v>
      </c>
      <c r="AF96" s="54">
        <f t="shared" si="191"/>
        <v>0.1207</v>
      </c>
      <c r="AG96" s="94">
        <v>0.18</v>
      </c>
      <c r="AH96" s="284">
        <v>0.02</v>
      </c>
      <c r="AI96" s="84">
        <v>0.14000000000000001</v>
      </c>
      <c r="AJ96" s="84">
        <v>0.14280000000000001</v>
      </c>
      <c r="AK96" s="301">
        <v>589651730</v>
      </c>
      <c r="AL96" s="301">
        <v>53245390</v>
      </c>
      <c r="AM96" s="301">
        <v>80000000</v>
      </c>
      <c r="AN96" s="301">
        <v>238988838</v>
      </c>
      <c r="AO96" s="301">
        <v>261252633</v>
      </c>
      <c r="AP96" s="92">
        <f t="shared" si="182"/>
        <v>0.44306260748187748</v>
      </c>
      <c r="AQ96" s="80"/>
      <c r="AR96" s="93"/>
      <c r="AS96" s="82"/>
      <c r="AT96" s="343">
        <v>260410195</v>
      </c>
      <c r="AU96" s="329">
        <f t="shared" si="184"/>
        <v>0.44163390311769291</v>
      </c>
      <c r="AV96" s="313"/>
      <c r="AW96" s="313"/>
      <c r="AX96" s="313"/>
      <c r="AY96" s="313"/>
      <c r="AZ96" s="313"/>
      <c r="BA96" s="313"/>
      <c r="BB96" s="313"/>
      <c r="BC96" s="334" t="e">
        <f t="shared" ref="BC96:BC100" si="226">+BB96/BA96</f>
        <v>#DIV/0!</v>
      </c>
      <c r="BD96" s="317">
        <f>514528154+AK96</f>
        <v>1104179884</v>
      </c>
      <c r="BE96" s="312">
        <f t="shared" si="220"/>
        <v>633486861</v>
      </c>
      <c r="BF96" s="328">
        <f t="shared" si="187"/>
        <v>0.57371708195328797</v>
      </c>
      <c r="BG96" s="312">
        <f t="shared" si="221"/>
        <v>260410195</v>
      </c>
      <c r="BH96" s="328">
        <f t="shared" si="188"/>
        <v>0.23584037236454491</v>
      </c>
      <c r="BI96" s="85"/>
      <c r="BJ96" s="254" t="s">
        <v>69</v>
      </c>
      <c r="BK96" s="254" t="s">
        <v>80</v>
      </c>
      <c r="BL96" s="231" t="s">
        <v>564</v>
      </c>
      <c r="BM96" s="14"/>
      <c r="BN96" s="14"/>
      <c r="BO96" s="14"/>
    </row>
    <row r="97" spans="1:67" ht="54" customHeight="1">
      <c r="A97" s="231" t="s">
        <v>637</v>
      </c>
      <c r="B97" s="241" t="s">
        <v>638</v>
      </c>
      <c r="C97" s="241" t="s">
        <v>241</v>
      </c>
      <c r="D97" s="64">
        <v>2</v>
      </c>
      <c r="E97" s="65">
        <v>13</v>
      </c>
      <c r="F97" s="220">
        <v>14</v>
      </c>
      <c r="G97" s="221">
        <v>13</v>
      </c>
      <c r="H97" s="64">
        <v>2</v>
      </c>
      <c r="I97" s="65">
        <v>13</v>
      </c>
      <c r="J97" s="67">
        <v>14</v>
      </c>
      <c r="K97" s="236">
        <v>0</v>
      </c>
      <c r="L97" s="68"/>
      <c r="M97" s="69"/>
      <c r="N97" s="69"/>
      <c r="O97" s="70">
        <f t="shared" ref="O97:Q97" si="227">IF((H97+L97)/D97&gt;=100%,100%,(H97+L97)/D97)</f>
        <v>1</v>
      </c>
      <c r="P97" s="71">
        <f t="shared" si="227"/>
        <v>1</v>
      </c>
      <c r="Q97" s="71">
        <f t="shared" si="227"/>
        <v>1</v>
      </c>
      <c r="R97" s="71">
        <f t="shared" si="216"/>
        <v>0</v>
      </c>
      <c r="S97" s="256" t="s">
        <v>639</v>
      </c>
      <c r="T97" s="256" t="s">
        <v>640</v>
      </c>
      <c r="U97" s="256" t="s">
        <v>641</v>
      </c>
      <c r="V97" s="231"/>
      <c r="W97" s="256" t="s">
        <v>642</v>
      </c>
      <c r="X97" s="72">
        <v>45230</v>
      </c>
      <c r="Y97" s="73"/>
      <c r="Z97" s="63"/>
      <c r="AA97" s="74"/>
      <c r="AB97" s="75"/>
      <c r="AC97" s="76">
        <f t="shared" si="217"/>
        <v>42</v>
      </c>
      <c r="AD97" s="76">
        <f t="shared" si="218"/>
        <v>29</v>
      </c>
      <c r="AE97" s="70">
        <f t="shared" si="219"/>
        <v>0.69047619047619047</v>
      </c>
      <c r="AF97" s="54">
        <f t="shared" si="191"/>
        <v>0.11070000000000002</v>
      </c>
      <c r="AG97" s="77">
        <v>0.15</v>
      </c>
      <c r="AH97" s="285">
        <v>0.01</v>
      </c>
      <c r="AI97" s="70">
        <v>0.14000000000000001</v>
      </c>
      <c r="AJ97" s="70">
        <v>0.14280000000000001</v>
      </c>
      <c r="AK97" s="301">
        <v>302624000</v>
      </c>
      <c r="AL97" s="301">
        <v>160000000</v>
      </c>
      <c r="AM97" s="301">
        <v>40000000</v>
      </c>
      <c r="AN97" s="301">
        <v>59664699</v>
      </c>
      <c r="AO97" s="301">
        <v>0</v>
      </c>
      <c r="AP97" s="79">
        <f t="shared" si="182"/>
        <v>0</v>
      </c>
      <c r="AQ97" s="121"/>
      <c r="AR97" s="81"/>
      <c r="AS97" s="83"/>
      <c r="AT97" s="344">
        <v>0</v>
      </c>
      <c r="AU97" s="329">
        <f t="shared" si="184"/>
        <v>0</v>
      </c>
      <c r="AV97" s="313"/>
      <c r="AW97" s="313"/>
      <c r="AX97" s="313"/>
      <c r="AY97" s="313"/>
      <c r="AZ97" s="313"/>
      <c r="BA97" s="313"/>
      <c r="BB97" s="313"/>
      <c r="BC97" s="328" t="e">
        <f t="shared" si="226"/>
        <v>#DIV/0!</v>
      </c>
      <c r="BD97" s="317">
        <f>260000000+AK97</f>
        <v>562624000</v>
      </c>
      <c r="BE97" s="312">
        <f t="shared" si="220"/>
        <v>259664699</v>
      </c>
      <c r="BF97" s="328">
        <f t="shared" si="187"/>
        <v>0.4615243910675691</v>
      </c>
      <c r="BG97" s="312">
        <f t="shared" si="221"/>
        <v>0</v>
      </c>
      <c r="BH97" s="328">
        <f t="shared" si="188"/>
        <v>0</v>
      </c>
      <c r="BI97" s="85"/>
      <c r="BJ97" s="254" t="s">
        <v>69</v>
      </c>
      <c r="BK97" s="254" t="s">
        <v>70</v>
      </c>
      <c r="BL97" s="231" t="s">
        <v>564</v>
      </c>
      <c r="BM97" s="10"/>
      <c r="BN97" s="10"/>
      <c r="BO97" s="10"/>
    </row>
    <row r="98" spans="1:67" ht="42" customHeight="1">
      <c r="A98" s="231" t="s">
        <v>643</v>
      </c>
      <c r="B98" s="241" t="s">
        <v>644</v>
      </c>
      <c r="C98" s="241" t="s">
        <v>241</v>
      </c>
      <c r="D98" s="64">
        <v>1</v>
      </c>
      <c r="E98" s="65">
        <v>1</v>
      </c>
      <c r="F98" s="220">
        <v>1</v>
      </c>
      <c r="G98" s="221">
        <v>1</v>
      </c>
      <c r="H98" s="64">
        <v>1</v>
      </c>
      <c r="I98" s="65">
        <v>1</v>
      </c>
      <c r="J98" s="67">
        <v>1</v>
      </c>
      <c r="K98" s="236">
        <v>0</v>
      </c>
      <c r="L98" s="68"/>
      <c r="M98" s="69"/>
      <c r="N98" s="69"/>
      <c r="O98" s="70">
        <f t="shared" ref="O98:Q98" si="228">IF((H98+L98)/D98&gt;=100%,100%,(H98+L98)/D98)</f>
        <v>1</v>
      </c>
      <c r="P98" s="71">
        <f t="shared" si="228"/>
        <v>1</v>
      </c>
      <c r="Q98" s="71">
        <f t="shared" si="228"/>
        <v>1</v>
      </c>
      <c r="R98" s="71">
        <f t="shared" si="216"/>
        <v>0</v>
      </c>
      <c r="S98" s="256" t="s">
        <v>645</v>
      </c>
      <c r="T98" s="256" t="s">
        <v>646</v>
      </c>
      <c r="U98" s="256" t="s">
        <v>647</v>
      </c>
      <c r="V98" s="231"/>
      <c r="W98" s="256" t="s">
        <v>648</v>
      </c>
      <c r="X98" s="72">
        <v>45230</v>
      </c>
      <c r="Y98" s="73"/>
      <c r="Z98" s="63"/>
      <c r="AA98" s="74"/>
      <c r="AB98" s="75"/>
      <c r="AC98" s="76">
        <f t="shared" si="217"/>
        <v>4</v>
      </c>
      <c r="AD98" s="76">
        <f t="shared" si="218"/>
        <v>3</v>
      </c>
      <c r="AE98" s="70">
        <f t="shared" si="219"/>
        <v>0.75</v>
      </c>
      <c r="AF98" s="54">
        <f t="shared" si="191"/>
        <v>0.10527500000000001</v>
      </c>
      <c r="AG98" s="77">
        <v>0.1283</v>
      </c>
      <c r="AH98" s="285">
        <v>0.01</v>
      </c>
      <c r="AI98" s="70">
        <v>0.14000000000000001</v>
      </c>
      <c r="AJ98" s="70">
        <v>0.14280000000000001</v>
      </c>
      <c r="AK98" s="301">
        <v>0</v>
      </c>
      <c r="AL98" s="301">
        <v>60349064</v>
      </c>
      <c r="AM98" s="301">
        <v>32000000</v>
      </c>
      <c r="AN98" s="301">
        <v>0</v>
      </c>
      <c r="AO98" s="301">
        <v>0</v>
      </c>
      <c r="AP98" s="79">
        <v>0</v>
      </c>
      <c r="AQ98" s="121"/>
      <c r="AR98" s="81"/>
      <c r="AS98" s="83"/>
      <c r="AT98" s="344">
        <v>0</v>
      </c>
      <c r="AU98" s="329">
        <v>0</v>
      </c>
      <c r="AV98" s="313"/>
      <c r="AW98" s="313"/>
      <c r="AX98" s="313"/>
      <c r="AY98" s="313"/>
      <c r="AZ98" s="313"/>
      <c r="BA98" s="313"/>
      <c r="BB98" s="313"/>
      <c r="BC98" s="328" t="e">
        <f t="shared" si="226"/>
        <v>#DIV/0!</v>
      </c>
      <c r="BD98" s="317">
        <f>92349064+AK98</f>
        <v>92349064</v>
      </c>
      <c r="BE98" s="312">
        <f t="shared" si="220"/>
        <v>92349064</v>
      </c>
      <c r="BF98" s="328">
        <f t="shared" si="187"/>
        <v>1</v>
      </c>
      <c r="BG98" s="312">
        <f t="shared" si="221"/>
        <v>0</v>
      </c>
      <c r="BH98" s="328">
        <f t="shared" si="188"/>
        <v>0</v>
      </c>
      <c r="BI98" s="85"/>
      <c r="BJ98" s="254" t="s">
        <v>69</v>
      </c>
      <c r="BK98" s="254" t="s">
        <v>70</v>
      </c>
      <c r="BL98" s="231" t="s">
        <v>564</v>
      </c>
      <c r="BM98" s="10"/>
      <c r="BN98" s="10"/>
      <c r="BO98" s="10"/>
    </row>
    <row r="99" spans="1:67" ht="20.100000000000001" customHeight="1">
      <c r="A99" s="31" t="s">
        <v>562</v>
      </c>
      <c r="B99" s="32"/>
      <c r="C99" s="133"/>
      <c r="D99" s="33"/>
      <c r="E99" s="34"/>
      <c r="F99" s="34"/>
      <c r="G99" s="34"/>
      <c r="H99" s="34"/>
      <c r="I99" s="34"/>
      <c r="J99" s="34"/>
      <c r="K99" s="34"/>
      <c r="L99" s="34"/>
      <c r="M99" s="34"/>
      <c r="N99" s="34"/>
      <c r="O99" s="35"/>
      <c r="P99" s="35"/>
      <c r="Q99" s="35"/>
      <c r="R99" s="35">
        <f>+R100</f>
        <v>0.9255256915079999</v>
      </c>
      <c r="S99" s="262"/>
      <c r="T99" s="262"/>
      <c r="U99" s="262"/>
      <c r="V99" s="262"/>
      <c r="W99" s="262"/>
      <c r="X99" s="35"/>
      <c r="Y99" s="35"/>
      <c r="Z99" s="35"/>
      <c r="AA99" s="35"/>
      <c r="AB99" s="35"/>
      <c r="AC99" s="35"/>
      <c r="AD99" s="35"/>
      <c r="AE99" s="35"/>
      <c r="AF99" s="35"/>
      <c r="AG99" s="35"/>
      <c r="AH99" s="286"/>
      <c r="AI99" s="35"/>
      <c r="AJ99" s="35"/>
      <c r="AK99" s="302"/>
      <c r="AL99" s="302"/>
      <c r="AM99" s="302"/>
      <c r="AN99" s="302"/>
      <c r="AO99" s="302"/>
      <c r="AP99" s="40"/>
      <c r="AQ99" s="39"/>
      <c r="AR99" s="39"/>
      <c r="AS99" s="39"/>
      <c r="AT99" s="335"/>
      <c r="AU99" s="339"/>
      <c r="AV99" s="316">
        <f t="shared" ref="AV99:BB99" si="229">+AV100</f>
        <v>0</v>
      </c>
      <c r="AW99" s="316">
        <f t="shared" si="229"/>
        <v>0</v>
      </c>
      <c r="AX99" s="316">
        <f t="shared" si="229"/>
        <v>0</v>
      </c>
      <c r="AY99" s="316">
        <f t="shared" si="229"/>
        <v>0</v>
      </c>
      <c r="AZ99" s="316">
        <f t="shared" si="229"/>
        <v>0</v>
      </c>
      <c r="BA99" s="316">
        <f t="shared" si="229"/>
        <v>0</v>
      </c>
      <c r="BB99" s="316">
        <f t="shared" si="229"/>
        <v>0</v>
      </c>
      <c r="BC99" s="338" t="e">
        <f t="shared" si="226"/>
        <v>#DIV/0!</v>
      </c>
      <c r="BD99" s="298"/>
      <c r="BE99" s="298"/>
      <c r="BF99" s="338"/>
      <c r="BG99" s="298"/>
      <c r="BH99" s="338"/>
      <c r="BI99" s="33"/>
      <c r="BJ99" s="348"/>
      <c r="BK99" s="348"/>
      <c r="BL99" s="348"/>
      <c r="BM99" s="10"/>
      <c r="BN99" s="10"/>
      <c r="BO99" s="10"/>
    </row>
    <row r="100" spans="1:67" ht="20.100000000000001" customHeight="1">
      <c r="A100" s="114" t="s">
        <v>649</v>
      </c>
      <c r="B100" s="43"/>
      <c r="C100" s="44"/>
      <c r="D100" s="49"/>
      <c r="E100" s="46"/>
      <c r="F100" s="46"/>
      <c r="G100" s="46"/>
      <c r="H100" s="46"/>
      <c r="I100" s="46"/>
      <c r="J100" s="46"/>
      <c r="K100" s="46"/>
      <c r="L100" s="46"/>
      <c r="M100" s="46"/>
      <c r="N100" s="46"/>
      <c r="O100" s="47">
        <f>+(O102*AG102)+(O112*AG112)+(O120*AG120)</f>
        <v>0.99824400000000002</v>
      </c>
      <c r="P100" s="47">
        <f>+(P102*AH102)+(P112*AH112)+(P120*AH120)</f>
        <v>0.91271417519999998</v>
      </c>
      <c r="Q100" s="47">
        <f>+(Q102*AI102)+(Q112*AI112)+(Q120*AI120)</f>
        <v>0.98875702552</v>
      </c>
      <c r="R100" s="47">
        <f>+(R102*AJ102)+(R112*AJ112)+(R120*AJ120)</f>
        <v>0.9255256915079999</v>
      </c>
      <c r="S100" s="263"/>
      <c r="T100" s="263"/>
      <c r="U100" s="263"/>
      <c r="V100" s="263"/>
      <c r="W100" s="263"/>
      <c r="X100" s="106"/>
      <c r="Y100" s="49"/>
      <c r="Z100" s="49"/>
      <c r="AA100" s="49"/>
      <c r="AB100" s="106"/>
      <c r="AC100" s="126"/>
      <c r="AD100" s="108"/>
      <c r="AE100" s="47">
        <f>+AE101</f>
        <v>0.95668283268679166</v>
      </c>
      <c r="AF100" s="47"/>
      <c r="AG100" s="47"/>
      <c r="AH100" s="248"/>
      <c r="AI100" s="47"/>
      <c r="AJ100" s="47"/>
      <c r="AK100" s="303">
        <f t="shared" ref="AK100:AO100" si="230">+AK102+AK112+AK120</f>
        <v>3047416503</v>
      </c>
      <c r="AL100" s="303">
        <f t="shared" si="230"/>
        <v>1129265360</v>
      </c>
      <c r="AM100" s="303">
        <f t="shared" si="230"/>
        <v>2160264129</v>
      </c>
      <c r="AN100" s="303">
        <f t="shared" si="230"/>
        <v>2355677971</v>
      </c>
      <c r="AO100" s="303">
        <f t="shared" si="230"/>
        <v>2585310709</v>
      </c>
      <c r="AP100" s="50">
        <f t="shared" ref="AP100:AP110" si="231">+AO100/AK100</f>
        <v>0.84836145845338684</v>
      </c>
      <c r="AQ100" s="51">
        <f t="shared" ref="AQ100:AS100" si="232">+AQ102+AQ112+AQ120</f>
        <v>0</v>
      </c>
      <c r="AR100" s="51">
        <f t="shared" si="232"/>
        <v>0</v>
      </c>
      <c r="AS100" s="51">
        <f t="shared" si="232"/>
        <v>0</v>
      </c>
      <c r="AT100" s="319">
        <f>+AT101</f>
        <v>1283444640</v>
      </c>
      <c r="AU100" s="341">
        <f t="shared" ref="AU100:AU110" si="233">+AT100/AK100</f>
        <v>0.42115826265839451</v>
      </c>
      <c r="AV100" s="308">
        <f t="shared" ref="AV100:BB100" si="234">+AV102+AV112+AV120</f>
        <v>0</v>
      </c>
      <c r="AW100" s="308">
        <f t="shared" si="234"/>
        <v>0</v>
      </c>
      <c r="AX100" s="308">
        <f t="shared" si="234"/>
        <v>0</v>
      </c>
      <c r="AY100" s="308">
        <f t="shared" si="234"/>
        <v>0</v>
      </c>
      <c r="AZ100" s="308">
        <f t="shared" si="234"/>
        <v>0</v>
      </c>
      <c r="BA100" s="308">
        <f t="shared" si="234"/>
        <v>0</v>
      </c>
      <c r="BB100" s="308">
        <f t="shared" si="234"/>
        <v>0</v>
      </c>
      <c r="BC100" s="322" t="e">
        <f t="shared" si="226"/>
        <v>#DIV/0!</v>
      </c>
      <c r="BD100" s="299">
        <f t="shared" ref="BD100:BE100" si="235">+BD102+BD112+BD120</f>
        <v>9405023229</v>
      </c>
      <c r="BE100" s="299">
        <f t="shared" si="235"/>
        <v>8230518169</v>
      </c>
      <c r="BF100" s="322">
        <f t="shared" ref="BF100:BF125" si="236">+BE100/BD100</f>
        <v>0.87511938765037156</v>
      </c>
      <c r="BG100" s="299">
        <f>+BG102+BG112+BG120</f>
        <v>1283444640</v>
      </c>
      <c r="BH100" s="322">
        <f t="shared" ref="BH100:BH125" si="237">+BG100/BD100</f>
        <v>0.13646373950917542</v>
      </c>
      <c r="BI100" s="49"/>
      <c r="BJ100" s="349" t="s">
        <v>79</v>
      </c>
      <c r="BK100" s="349" t="s">
        <v>101</v>
      </c>
      <c r="BL100" s="349" t="s">
        <v>593</v>
      </c>
      <c r="BM100" s="10"/>
      <c r="BN100" s="10"/>
      <c r="BO100" s="10"/>
    </row>
    <row r="101" spans="1:67" ht="30.75" customHeight="1">
      <c r="A101" s="116" t="s">
        <v>650</v>
      </c>
      <c r="B101" s="43"/>
      <c r="C101" s="44"/>
      <c r="D101" s="49"/>
      <c r="E101" s="46"/>
      <c r="F101" s="46"/>
      <c r="G101" s="46"/>
      <c r="H101" s="46"/>
      <c r="I101" s="46"/>
      <c r="J101" s="46"/>
      <c r="K101" s="46"/>
      <c r="L101" s="46"/>
      <c r="M101" s="46"/>
      <c r="N101" s="46"/>
      <c r="O101" s="47">
        <f>+(O102*AG102)+(O112*AG112)+(O120*AG120)</f>
        <v>0.99824400000000002</v>
      </c>
      <c r="P101" s="47">
        <f>+(P102*AH102)+(P112*AH112)+(P120*AH120)</f>
        <v>0.91271417519999998</v>
      </c>
      <c r="Q101" s="47">
        <f>+(Q102*AI102)+(Q112*AI112)+(Q120*AI120)</f>
        <v>0.98875702552</v>
      </c>
      <c r="R101" s="47">
        <f>+(R102*AJ102)+(R112*AJ112)+(R120*AJ120)</f>
        <v>0.9255256915079999</v>
      </c>
      <c r="S101" s="263"/>
      <c r="T101" s="263"/>
      <c r="U101" s="263"/>
      <c r="V101" s="263"/>
      <c r="W101" s="263"/>
      <c r="X101" s="106"/>
      <c r="Y101" s="49"/>
      <c r="Z101" s="49"/>
      <c r="AA101" s="49"/>
      <c r="AB101" s="106"/>
      <c r="AC101" s="126"/>
      <c r="AD101" s="108"/>
      <c r="AE101" s="47">
        <f>+(AE102*AF102)+(AE112*AF112)+(AE120*AF120)</f>
        <v>0.95668283268679166</v>
      </c>
      <c r="AF101" s="47"/>
      <c r="AG101" s="47"/>
      <c r="AH101" s="248"/>
      <c r="AI101" s="47"/>
      <c r="AJ101" s="47"/>
      <c r="AK101" s="303">
        <f t="shared" ref="AK101:AO101" si="238">+AK102+AK112+AK120</f>
        <v>3047416503</v>
      </c>
      <c r="AL101" s="303">
        <f t="shared" si="238"/>
        <v>1129265360</v>
      </c>
      <c r="AM101" s="303">
        <f t="shared" si="238"/>
        <v>2160264129</v>
      </c>
      <c r="AN101" s="303">
        <f t="shared" si="238"/>
        <v>2355677971</v>
      </c>
      <c r="AO101" s="303">
        <f t="shared" si="238"/>
        <v>2585310709</v>
      </c>
      <c r="AP101" s="50">
        <f t="shared" si="231"/>
        <v>0.84836145845338684</v>
      </c>
      <c r="AQ101" s="51"/>
      <c r="AR101" s="51"/>
      <c r="AS101" s="51"/>
      <c r="AT101" s="319">
        <f>+AT102+AT112+AT120</f>
        <v>1283444640</v>
      </c>
      <c r="AU101" s="341">
        <f t="shared" si="233"/>
        <v>0.42115826265839451</v>
      </c>
      <c r="AV101" s="308"/>
      <c r="AW101" s="308"/>
      <c r="AX101" s="308"/>
      <c r="AY101" s="308"/>
      <c r="AZ101" s="308"/>
      <c r="BA101" s="308"/>
      <c r="BB101" s="308"/>
      <c r="BC101" s="322"/>
      <c r="BD101" s="299">
        <f t="shared" ref="BD101:BE101" si="239">+BD102+BD112+BD120</f>
        <v>9405023229</v>
      </c>
      <c r="BE101" s="299">
        <f t="shared" si="239"/>
        <v>8230518169</v>
      </c>
      <c r="BF101" s="322">
        <f t="shared" si="236"/>
        <v>0.87511938765037156</v>
      </c>
      <c r="BG101" s="299">
        <f>+BG102+BG112+BG120</f>
        <v>1283444640</v>
      </c>
      <c r="BH101" s="322">
        <f t="shared" si="237"/>
        <v>0.13646373950917542</v>
      </c>
      <c r="BI101" s="49"/>
      <c r="BJ101" s="349" t="s">
        <v>79</v>
      </c>
      <c r="BK101" s="349" t="s">
        <v>101</v>
      </c>
      <c r="BL101" s="349" t="s">
        <v>593</v>
      </c>
      <c r="BM101" s="10"/>
      <c r="BN101" s="10"/>
      <c r="BO101" s="10"/>
    </row>
    <row r="102" spans="1:67" ht="37.5" customHeight="1">
      <c r="A102" s="195" t="s">
        <v>651</v>
      </c>
      <c r="B102" s="53"/>
      <c r="C102" s="53"/>
      <c r="D102" s="53"/>
      <c r="E102" s="53"/>
      <c r="F102" s="53"/>
      <c r="G102" s="53"/>
      <c r="H102" s="53"/>
      <c r="I102" s="53"/>
      <c r="J102" s="53"/>
      <c r="K102" s="53"/>
      <c r="L102" s="53"/>
      <c r="M102" s="53"/>
      <c r="N102" s="53"/>
      <c r="O102" s="127">
        <f>+SUMPRODUCT(O103:O111,AG103:AG111)</f>
        <v>1</v>
      </c>
      <c r="P102" s="127">
        <f>+SUMPRODUCT(P103:P111,AH103:AH111)</f>
        <v>0.90780000000000005</v>
      </c>
      <c r="Q102" s="127">
        <f>+SUMPRODUCT(Q103:Q111,AI103:AI111)</f>
        <v>0.97434699999999985</v>
      </c>
      <c r="R102" s="127">
        <f>+SUMPRODUCT(R103:R111,AJ103:AJ111)</f>
        <v>0.85431455999999995</v>
      </c>
      <c r="S102" s="271"/>
      <c r="T102" s="271"/>
      <c r="U102" s="271"/>
      <c r="V102" s="271"/>
      <c r="W102" s="271"/>
      <c r="X102" s="55"/>
      <c r="Y102" s="56"/>
      <c r="Z102" s="56"/>
      <c r="AA102" s="56"/>
      <c r="AB102" s="55"/>
      <c r="AC102" s="19"/>
      <c r="AD102" s="57"/>
      <c r="AE102" s="54">
        <f>+SUMPRODUCT(AE103:AE111,AF103:AF111)</f>
        <v>0.93584692666666658</v>
      </c>
      <c r="AF102" s="54">
        <f t="shared" ref="AF102:AF125" si="240">SUM(AG102:AJ102)/4</f>
        <v>0.3412</v>
      </c>
      <c r="AG102" s="54">
        <v>0.36399999999999999</v>
      </c>
      <c r="AH102" s="249">
        <v>0.33339999999999997</v>
      </c>
      <c r="AI102" s="54">
        <v>0.33400000000000002</v>
      </c>
      <c r="AJ102" s="54">
        <v>0.33339999999999997</v>
      </c>
      <c r="AK102" s="296">
        <f>SUM(AK103:AK111)</f>
        <v>1390600500</v>
      </c>
      <c r="AL102" s="296">
        <f t="shared" ref="AL102:AN102" si="241">SUM(AL103:AL111)</f>
        <v>533479848</v>
      </c>
      <c r="AM102" s="296">
        <f t="shared" si="241"/>
        <v>975558156</v>
      </c>
      <c r="AN102" s="296">
        <f t="shared" si="241"/>
        <v>909000235</v>
      </c>
      <c r="AO102" s="296">
        <f>SUM(AO103:AO111)</f>
        <v>1297604976</v>
      </c>
      <c r="AP102" s="60">
        <f t="shared" si="231"/>
        <v>0.93312563601120524</v>
      </c>
      <c r="AQ102" s="58">
        <f t="shared" ref="AQ102:AS102" si="242">SUM(AQ103:AQ111)</f>
        <v>0</v>
      </c>
      <c r="AR102" s="58">
        <f t="shared" si="242"/>
        <v>0</v>
      </c>
      <c r="AS102" s="58">
        <f t="shared" si="242"/>
        <v>0</v>
      </c>
      <c r="AT102" s="323">
        <f>+SUM(AT103:AT111)</f>
        <v>561857595</v>
      </c>
      <c r="AU102" s="331">
        <f t="shared" si="233"/>
        <v>0.40403954622481436</v>
      </c>
      <c r="AV102" s="310">
        <f t="shared" ref="AV102:BB102" si="243">SUM(AV103:AV111)</f>
        <v>0</v>
      </c>
      <c r="AW102" s="310">
        <f t="shared" si="243"/>
        <v>0</v>
      </c>
      <c r="AX102" s="310">
        <f t="shared" si="243"/>
        <v>0</v>
      </c>
      <c r="AY102" s="310">
        <f t="shared" si="243"/>
        <v>0</v>
      </c>
      <c r="AZ102" s="310">
        <f t="shared" si="243"/>
        <v>0</v>
      </c>
      <c r="BA102" s="310">
        <f t="shared" si="243"/>
        <v>0</v>
      </c>
      <c r="BB102" s="310">
        <f t="shared" si="243"/>
        <v>0</v>
      </c>
      <c r="BC102" s="325" t="e">
        <f t="shared" ref="BC102:BC103" si="244">+BB102/BA102</f>
        <v>#DIV/0!</v>
      </c>
      <c r="BD102" s="300">
        <f t="shared" ref="BD102:BE102" si="245">SUM(BD103:BD111)</f>
        <v>4048314162</v>
      </c>
      <c r="BE102" s="300">
        <f t="shared" si="245"/>
        <v>3715643215</v>
      </c>
      <c r="BF102" s="325">
        <f t="shared" si="236"/>
        <v>0.91782481949581463</v>
      </c>
      <c r="BG102" s="300">
        <f>SUM(BG103:BG111)</f>
        <v>561857595</v>
      </c>
      <c r="BH102" s="325">
        <f t="shared" si="237"/>
        <v>0.13878804176660636</v>
      </c>
      <c r="BI102" s="56"/>
      <c r="BJ102" s="350" t="s">
        <v>79</v>
      </c>
      <c r="BK102" s="350" t="s">
        <v>101</v>
      </c>
      <c r="BL102" s="350" t="s">
        <v>593</v>
      </c>
      <c r="BM102" s="10"/>
      <c r="BN102" s="10"/>
      <c r="BO102" s="10"/>
    </row>
    <row r="103" spans="1:67" ht="20.100000000000001" customHeight="1">
      <c r="A103" s="231" t="s">
        <v>228</v>
      </c>
      <c r="B103" s="231"/>
      <c r="C103" s="241" t="s">
        <v>229</v>
      </c>
      <c r="D103" s="64">
        <v>0</v>
      </c>
      <c r="E103" s="65">
        <v>100</v>
      </c>
      <c r="F103" s="220">
        <v>100</v>
      </c>
      <c r="G103" s="66">
        <v>100</v>
      </c>
      <c r="H103" s="64">
        <v>0</v>
      </c>
      <c r="I103" s="65">
        <v>96</v>
      </c>
      <c r="J103" s="67">
        <v>77</v>
      </c>
      <c r="K103" s="233">
        <v>68.959999999999994</v>
      </c>
      <c r="L103" s="68"/>
      <c r="M103" s="69"/>
      <c r="N103" s="69"/>
      <c r="O103" s="70">
        <v>0</v>
      </c>
      <c r="P103" s="70">
        <f t="shared" ref="P103:Q103" si="246">IF((I103+M103)/E103&gt;=100%,100%,(I103+M103)/E103)</f>
        <v>0.96</v>
      </c>
      <c r="Q103" s="70">
        <f t="shared" si="246"/>
        <v>0.77</v>
      </c>
      <c r="R103" s="71">
        <f t="shared" ref="R103:R111" si="247">IF(K103/G103&gt;=100%,100%,K103/G103)</f>
        <v>0.68959999999999999</v>
      </c>
      <c r="S103" s="261"/>
      <c r="T103" s="261"/>
      <c r="U103" s="261"/>
      <c r="V103" s="231"/>
      <c r="W103" s="231"/>
      <c r="X103" s="72">
        <v>45230</v>
      </c>
      <c r="Y103" s="73"/>
      <c r="Z103" s="63"/>
      <c r="AA103" s="74"/>
      <c r="AB103" s="128"/>
      <c r="AC103" s="76">
        <f t="shared" ref="AC103:AC111" si="248">SUM(D103:G103)</f>
        <v>300</v>
      </c>
      <c r="AD103" s="76">
        <f t="shared" ref="AD103:AD111" si="249">SUM(H103:N103)</f>
        <v>241.95999999999998</v>
      </c>
      <c r="AE103" s="70">
        <f t="shared" ref="AE103:AE111" si="250">IF(AD103/AC103&gt;=100%,100%,AD103/AC103)</f>
        <v>0.80653333333333321</v>
      </c>
      <c r="AF103" s="54">
        <f t="shared" si="240"/>
        <v>0.10055</v>
      </c>
      <c r="AG103" s="77">
        <v>0</v>
      </c>
      <c r="AH103" s="289">
        <v>0.18</v>
      </c>
      <c r="AI103" s="70">
        <v>0.1111</v>
      </c>
      <c r="AJ103" s="70">
        <v>0.1111</v>
      </c>
      <c r="AK103" s="301">
        <v>250600500</v>
      </c>
      <c r="AL103" s="301">
        <v>0</v>
      </c>
      <c r="AM103" s="301">
        <f>111072942+18313696</f>
        <v>129386638</v>
      </c>
      <c r="AN103" s="301">
        <v>205254662</v>
      </c>
      <c r="AO103" s="301">
        <v>172804180</v>
      </c>
      <c r="AP103" s="79">
        <f t="shared" si="231"/>
        <v>0.68956039592897855</v>
      </c>
      <c r="AQ103" s="80"/>
      <c r="AR103" s="81"/>
      <c r="AS103" s="83"/>
      <c r="AT103" s="343">
        <v>171323107</v>
      </c>
      <c r="AU103" s="329">
        <f t="shared" si="233"/>
        <v>0.68365029997944937</v>
      </c>
      <c r="AV103" s="313"/>
      <c r="AW103" s="313"/>
      <c r="AX103" s="313"/>
      <c r="AY103" s="313"/>
      <c r="AZ103" s="313"/>
      <c r="BA103" s="313"/>
      <c r="BB103" s="313"/>
      <c r="BC103" s="328" t="e">
        <f t="shared" si="244"/>
        <v>#DIV/0!</v>
      </c>
      <c r="BD103" s="317">
        <f>400427960+AK103</f>
        <v>651028460</v>
      </c>
      <c r="BE103" s="312">
        <f t="shared" ref="BE103:BE111" si="251">+AL103+AM103+AN103+AO103</f>
        <v>507445480</v>
      </c>
      <c r="BF103" s="328">
        <f t="shared" si="236"/>
        <v>0.77945206880817464</v>
      </c>
      <c r="BG103" s="312">
        <f t="shared" ref="BG103:BG111" si="252">SUM(AQ103:AT103)+AX103+AZ103+BB103</f>
        <v>171323107</v>
      </c>
      <c r="BH103" s="328">
        <f t="shared" si="237"/>
        <v>0.26315763062032649</v>
      </c>
      <c r="BI103" s="85"/>
      <c r="BJ103" s="254" t="s">
        <v>81</v>
      </c>
      <c r="BK103" s="254" t="s">
        <v>83</v>
      </c>
      <c r="BL103" s="231" t="s">
        <v>230</v>
      </c>
      <c r="BM103" s="10"/>
      <c r="BN103" s="10"/>
      <c r="BO103" s="10"/>
    </row>
    <row r="104" spans="1:67" ht="20.100000000000001" customHeight="1">
      <c r="A104" s="231" t="s">
        <v>652</v>
      </c>
      <c r="B104" s="241" t="s">
        <v>653</v>
      </c>
      <c r="C104" s="241" t="s">
        <v>241</v>
      </c>
      <c r="D104" s="64">
        <v>28</v>
      </c>
      <c r="E104" s="65">
        <v>28</v>
      </c>
      <c r="F104" s="220">
        <v>28</v>
      </c>
      <c r="G104" s="221">
        <v>28</v>
      </c>
      <c r="H104" s="64">
        <v>28</v>
      </c>
      <c r="I104" s="65">
        <v>28</v>
      </c>
      <c r="J104" s="67">
        <v>28</v>
      </c>
      <c r="K104" s="236">
        <v>28</v>
      </c>
      <c r="L104" s="68"/>
      <c r="M104" s="69"/>
      <c r="N104" s="69"/>
      <c r="O104" s="70">
        <v>1</v>
      </c>
      <c r="P104" s="70">
        <f t="shared" ref="P104:Q104" si="253">IF((I104+M104)/E104&gt;=100%,100%,(I104+M104)/E104)</f>
        <v>1</v>
      </c>
      <c r="Q104" s="70">
        <f t="shared" si="253"/>
        <v>1</v>
      </c>
      <c r="R104" s="71">
        <f t="shared" si="247"/>
        <v>1</v>
      </c>
      <c r="S104" s="265" t="s">
        <v>654</v>
      </c>
      <c r="T104" s="253" t="s">
        <v>655</v>
      </c>
      <c r="U104" s="270" t="s">
        <v>656</v>
      </c>
      <c r="V104" s="231" t="s">
        <v>657</v>
      </c>
      <c r="W104" s="256" t="s">
        <v>658</v>
      </c>
      <c r="X104" s="72">
        <v>45230</v>
      </c>
      <c r="Y104" s="73"/>
      <c r="Z104" s="63"/>
      <c r="AA104" s="74"/>
      <c r="AB104" s="128"/>
      <c r="AC104" s="76">
        <f t="shared" si="248"/>
        <v>112</v>
      </c>
      <c r="AD104" s="76">
        <f t="shared" si="249"/>
        <v>112</v>
      </c>
      <c r="AE104" s="70">
        <f t="shared" si="250"/>
        <v>1</v>
      </c>
      <c r="AF104" s="54">
        <f t="shared" si="240"/>
        <v>8.055000000000001E-2</v>
      </c>
      <c r="AG104" s="77">
        <v>0.06</v>
      </c>
      <c r="AH104" s="285">
        <v>0.04</v>
      </c>
      <c r="AI104" s="70">
        <v>0.1111</v>
      </c>
      <c r="AJ104" s="70">
        <v>0.1111</v>
      </c>
      <c r="AK104" s="301">
        <v>181016670</v>
      </c>
      <c r="AL104" s="301">
        <v>35000000</v>
      </c>
      <c r="AM104" s="301">
        <v>29999956</v>
      </c>
      <c r="AN104" s="301">
        <v>140040000</v>
      </c>
      <c r="AO104" s="301">
        <v>181016670</v>
      </c>
      <c r="AP104" s="79">
        <f t="shared" si="231"/>
        <v>1</v>
      </c>
      <c r="AQ104" s="80"/>
      <c r="AR104" s="81"/>
      <c r="AS104" s="83"/>
      <c r="AT104" s="343">
        <v>38844622</v>
      </c>
      <c r="AU104" s="329">
        <f t="shared" si="233"/>
        <v>0.21459140752064437</v>
      </c>
      <c r="AV104" s="313"/>
      <c r="AW104" s="313"/>
      <c r="AX104" s="313"/>
      <c r="AY104" s="313"/>
      <c r="AZ104" s="313"/>
      <c r="BA104" s="313"/>
      <c r="BB104" s="313"/>
      <c r="BC104" s="328"/>
      <c r="BD104" s="317">
        <f>225139666+AK104</f>
        <v>406156336</v>
      </c>
      <c r="BE104" s="312">
        <f t="shared" si="251"/>
        <v>386056626</v>
      </c>
      <c r="BF104" s="328">
        <f t="shared" si="236"/>
        <v>0.95051238102561575</v>
      </c>
      <c r="BG104" s="312">
        <f t="shared" si="252"/>
        <v>38844622</v>
      </c>
      <c r="BH104" s="328">
        <f t="shared" si="237"/>
        <v>9.5639581503413992E-2</v>
      </c>
      <c r="BI104" s="85"/>
      <c r="BJ104" s="254" t="s">
        <v>79</v>
      </c>
      <c r="BK104" s="254" t="s">
        <v>101</v>
      </c>
      <c r="BL104" s="231" t="s">
        <v>593</v>
      </c>
      <c r="BM104" s="10"/>
      <c r="BN104" s="10"/>
      <c r="BO104" s="10"/>
    </row>
    <row r="105" spans="1:67" ht="20.100000000000001" customHeight="1">
      <c r="A105" s="231" t="s">
        <v>659</v>
      </c>
      <c r="B105" s="241" t="s">
        <v>660</v>
      </c>
      <c r="C105" s="241" t="s">
        <v>241</v>
      </c>
      <c r="D105" s="64">
        <v>6</v>
      </c>
      <c r="E105" s="65">
        <v>6</v>
      </c>
      <c r="F105" s="220">
        <v>6</v>
      </c>
      <c r="G105" s="221">
        <v>6</v>
      </c>
      <c r="H105" s="64">
        <v>6</v>
      </c>
      <c r="I105" s="65">
        <v>6</v>
      </c>
      <c r="J105" s="67">
        <v>6</v>
      </c>
      <c r="K105" s="236">
        <v>6</v>
      </c>
      <c r="L105" s="68"/>
      <c r="M105" s="69"/>
      <c r="N105" s="69"/>
      <c r="O105" s="70">
        <v>1</v>
      </c>
      <c r="P105" s="70">
        <f t="shared" ref="P105:Q105" si="254">IF((I105+M105)/E105&gt;=100%,100%,(I105+M105)/E105)</f>
        <v>1</v>
      </c>
      <c r="Q105" s="70">
        <f t="shared" si="254"/>
        <v>1</v>
      </c>
      <c r="R105" s="71">
        <f t="shared" si="247"/>
        <v>1</v>
      </c>
      <c r="S105" s="265" t="s">
        <v>661</v>
      </c>
      <c r="T105" s="253" t="s">
        <v>662</v>
      </c>
      <c r="U105" s="270" t="s">
        <v>663</v>
      </c>
      <c r="V105" s="231" t="s">
        <v>664</v>
      </c>
      <c r="W105" s="256" t="s">
        <v>665</v>
      </c>
      <c r="X105" s="72">
        <v>45230</v>
      </c>
      <c r="Y105" s="73"/>
      <c r="Z105" s="63"/>
      <c r="AA105" s="74"/>
      <c r="AB105" s="128"/>
      <c r="AC105" s="76">
        <f t="shared" si="248"/>
        <v>24</v>
      </c>
      <c r="AD105" s="76">
        <f t="shared" si="249"/>
        <v>24</v>
      </c>
      <c r="AE105" s="70">
        <f t="shared" si="250"/>
        <v>1</v>
      </c>
      <c r="AF105" s="54">
        <f t="shared" si="240"/>
        <v>0.15304999999999999</v>
      </c>
      <c r="AG105" s="77">
        <v>0.28000000000000003</v>
      </c>
      <c r="AH105" s="285">
        <v>0.11</v>
      </c>
      <c r="AI105" s="70">
        <v>0.1111</v>
      </c>
      <c r="AJ105" s="70">
        <v>0.1111</v>
      </c>
      <c r="AK105" s="301">
        <v>50000000</v>
      </c>
      <c r="AL105" s="301">
        <v>154792144</v>
      </c>
      <c r="AM105" s="301">
        <v>133417778</v>
      </c>
      <c r="AN105" s="301">
        <v>120000000</v>
      </c>
      <c r="AO105" s="301">
        <v>50000000</v>
      </c>
      <c r="AP105" s="79">
        <f t="shared" si="231"/>
        <v>1</v>
      </c>
      <c r="AQ105" s="80"/>
      <c r="AR105" s="81"/>
      <c r="AS105" s="83"/>
      <c r="AT105" s="343">
        <v>19920317</v>
      </c>
      <c r="AU105" s="329">
        <f t="shared" si="233"/>
        <v>0.39840634000000003</v>
      </c>
      <c r="AV105" s="313"/>
      <c r="AW105" s="313"/>
      <c r="AX105" s="313"/>
      <c r="AY105" s="313"/>
      <c r="AZ105" s="313"/>
      <c r="BA105" s="313"/>
      <c r="BB105" s="313"/>
      <c r="BC105" s="328"/>
      <c r="BD105" s="317">
        <f>408423898+AK105</f>
        <v>458423898</v>
      </c>
      <c r="BE105" s="312">
        <f t="shared" si="251"/>
        <v>458209922</v>
      </c>
      <c r="BF105" s="328">
        <f t="shared" si="236"/>
        <v>0.99953323550335504</v>
      </c>
      <c r="BG105" s="312">
        <f t="shared" si="252"/>
        <v>19920317</v>
      </c>
      <c r="BH105" s="328">
        <f t="shared" si="237"/>
        <v>4.3453923512512864E-2</v>
      </c>
      <c r="BI105" s="85"/>
      <c r="BJ105" s="254" t="s">
        <v>79</v>
      </c>
      <c r="BK105" s="254" t="s">
        <v>101</v>
      </c>
      <c r="BL105" s="231" t="s">
        <v>593</v>
      </c>
      <c r="BM105" s="10"/>
      <c r="BN105" s="10"/>
      <c r="BO105" s="10"/>
    </row>
    <row r="106" spans="1:67" ht="60.75" customHeight="1">
      <c r="A106" s="231" t="s">
        <v>666</v>
      </c>
      <c r="B106" s="241" t="s">
        <v>667</v>
      </c>
      <c r="C106" s="241" t="s">
        <v>241</v>
      </c>
      <c r="D106" s="129">
        <v>2</v>
      </c>
      <c r="E106" s="130">
        <v>2</v>
      </c>
      <c r="F106" s="224">
        <v>2</v>
      </c>
      <c r="G106" s="225">
        <v>2</v>
      </c>
      <c r="H106" s="64">
        <v>2</v>
      </c>
      <c r="I106" s="65">
        <v>2</v>
      </c>
      <c r="J106" s="67">
        <v>2</v>
      </c>
      <c r="K106" s="238">
        <v>2</v>
      </c>
      <c r="L106" s="68"/>
      <c r="M106" s="69"/>
      <c r="N106" s="69"/>
      <c r="O106" s="70">
        <v>1</v>
      </c>
      <c r="P106" s="70">
        <f t="shared" ref="P106:Q106" si="255">IF((I106+M106)/E106&gt;=100%,100%,(I106+M106)/E106)</f>
        <v>1</v>
      </c>
      <c r="Q106" s="70">
        <f t="shared" si="255"/>
        <v>1</v>
      </c>
      <c r="R106" s="71">
        <f t="shared" si="247"/>
        <v>1</v>
      </c>
      <c r="S106" s="265" t="s">
        <v>668</v>
      </c>
      <c r="T106" s="253" t="s">
        <v>669</v>
      </c>
      <c r="U106" s="270" t="s">
        <v>670</v>
      </c>
      <c r="V106" s="231" t="s">
        <v>671</v>
      </c>
      <c r="W106" s="256" t="s">
        <v>672</v>
      </c>
      <c r="X106" s="72">
        <v>45230</v>
      </c>
      <c r="Y106" s="73"/>
      <c r="Z106" s="63"/>
      <c r="AA106" s="74"/>
      <c r="AB106" s="128"/>
      <c r="AC106" s="76">
        <f t="shared" si="248"/>
        <v>8</v>
      </c>
      <c r="AD106" s="76">
        <f t="shared" si="249"/>
        <v>8</v>
      </c>
      <c r="AE106" s="70">
        <f t="shared" si="250"/>
        <v>1</v>
      </c>
      <c r="AF106" s="54">
        <f t="shared" si="240"/>
        <v>8.5550000000000015E-2</v>
      </c>
      <c r="AG106" s="77">
        <v>0.05</v>
      </c>
      <c r="AH106" s="293">
        <v>7.0000000000000007E-2</v>
      </c>
      <c r="AI106" s="70">
        <v>0.1111</v>
      </c>
      <c r="AJ106" s="70">
        <v>0.1111</v>
      </c>
      <c r="AK106" s="301">
        <v>107759500</v>
      </c>
      <c r="AL106" s="301">
        <v>15000000</v>
      </c>
      <c r="AM106" s="301">
        <v>49975564</v>
      </c>
      <c r="AN106" s="301">
        <v>108585768</v>
      </c>
      <c r="AO106" s="301">
        <v>107759500</v>
      </c>
      <c r="AP106" s="79">
        <f t="shared" si="231"/>
        <v>1</v>
      </c>
      <c r="AQ106" s="80"/>
      <c r="AR106" s="81"/>
      <c r="AS106" s="83"/>
      <c r="AT106" s="343">
        <v>11099603</v>
      </c>
      <c r="AU106" s="329">
        <f t="shared" si="233"/>
        <v>0.10300347533164129</v>
      </c>
      <c r="AV106" s="313"/>
      <c r="AW106" s="313"/>
      <c r="AX106" s="313"/>
      <c r="AY106" s="313"/>
      <c r="AZ106" s="313"/>
      <c r="BA106" s="313"/>
      <c r="BB106" s="313"/>
      <c r="BC106" s="328"/>
      <c r="BD106" s="317">
        <f>176844985+AK106</f>
        <v>284604485</v>
      </c>
      <c r="BE106" s="312">
        <f t="shared" si="251"/>
        <v>281320832</v>
      </c>
      <c r="BF106" s="328">
        <f t="shared" si="236"/>
        <v>0.98846239896746535</v>
      </c>
      <c r="BG106" s="312">
        <f t="shared" si="252"/>
        <v>11099603</v>
      </c>
      <c r="BH106" s="328">
        <f t="shared" si="237"/>
        <v>3.9000098680806103E-2</v>
      </c>
      <c r="BI106" s="85"/>
      <c r="BJ106" s="254" t="s">
        <v>79</v>
      </c>
      <c r="BK106" s="254" t="s">
        <v>101</v>
      </c>
      <c r="BL106" s="231" t="s">
        <v>593</v>
      </c>
      <c r="BM106" s="10"/>
      <c r="BN106" s="10"/>
      <c r="BO106" s="10"/>
    </row>
    <row r="107" spans="1:67" ht="48.75" customHeight="1">
      <c r="A107" s="231" t="s">
        <v>673</v>
      </c>
      <c r="B107" s="241" t="s">
        <v>674</v>
      </c>
      <c r="C107" s="241" t="s">
        <v>241</v>
      </c>
      <c r="D107" s="64">
        <v>5</v>
      </c>
      <c r="E107" s="65">
        <v>5</v>
      </c>
      <c r="F107" s="220">
        <v>5</v>
      </c>
      <c r="G107" s="221">
        <v>5</v>
      </c>
      <c r="H107" s="64">
        <v>5</v>
      </c>
      <c r="I107" s="65">
        <v>5</v>
      </c>
      <c r="J107" s="67">
        <v>5</v>
      </c>
      <c r="K107" s="236">
        <v>5</v>
      </c>
      <c r="L107" s="68"/>
      <c r="M107" s="69"/>
      <c r="N107" s="69"/>
      <c r="O107" s="70">
        <v>1</v>
      </c>
      <c r="P107" s="70">
        <f t="shared" ref="P107:Q107" si="256">IF((I107+M107)/E107&gt;=100%,100%,(I107+M107)/E107)</f>
        <v>1</v>
      </c>
      <c r="Q107" s="70">
        <f t="shared" si="256"/>
        <v>1</v>
      </c>
      <c r="R107" s="71">
        <f t="shared" si="247"/>
        <v>1</v>
      </c>
      <c r="S107" s="265" t="s">
        <v>675</v>
      </c>
      <c r="T107" s="253" t="s">
        <v>676</v>
      </c>
      <c r="U107" s="270" t="s">
        <v>677</v>
      </c>
      <c r="V107" s="231" t="s">
        <v>678</v>
      </c>
      <c r="W107" s="256" t="s">
        <v>679</v>
      </c>
      <c r="X107" s="72">
        <v>45230</v>
      </c>
      <c r="Y107" s="73"/>
      <c r="Z107" s="63"/>
      <c r="AA107" s="74"/>
      <c r="AB107" s="128"/>
      <c r="AC107" s="76">
        <f t="shared" si="248"/>
        <v>20</v>
      </c>
      <c r="AD107" s="76">
        <f t="shared" si="249"/>
        <v>20</v>
      </c>
      <c r="AE107" s="70">
        <f t="shared" si="250"/>
        <v>1</v>
      </c>
      <c r="AF107" s="54">
        <f t="shared" si="240"/>
        <v>0.30554999999999999</v>
      </c>
      <c r="AG107" s="77">
        <v>0.56999999999999995</v>
      </c>
      <c r="AH107" s="289">
        <v>0.43</v>
      </c>
      <c r="AI107" s="70">
        <v>0.1111</v>
      </c>
      <c r="AJ107" s="70">
        <v>0.1111</v>
      </c>
      <c r="AK107" s="301">
        <v>706223830</v>
      </c>
      <c r="AL107" s="301">
        <v>288687704</v>
      </c>
      <c r="AM107" s="301">
        <v>591522570</v>
      </c>
      <c r="AN107" s="301">
        <v>335119805</v>
      </c>
      <c r="AO107" s="301">
        <v>706223830</v>
      </c>
      <c r="AP107" s="79">
        <f t="shared" si="231"/>
        <v>1</v>
      </c>
      <c r="AQ107" s="80"/>
      <c r="AR107" s="81"/>
      <c r="AS107" s="83"/>
      <c r="AT107" s="343">
        <v>235869150</v>
      </c>
      <c r="AU107" s="329">
        <f t="shared" si="233"/>
        <v>0.33398639352059245</v>
      </c>
      <c r="AV107" s="313"/>
      <c r="AW107" s="313"/>
      <c r="AX107" s="313"/>
      <c r="AY107" s="313"/>
      <c r="AZ107" s="313"/>
      <c r="BA107" s="313"/>
      <c r="BB107" s="313"/>
      <c r="BC107" s="328"/>
      <c r="BD107" s="317">
        <f>1275554451+AK107</f>
        <v>1981778281</v>
      </c>
      <c r="BE107" s="312">
        <f t="shared" si="251"/>
        <v>1921553909</v>
      </c>
      <c r="BF107" s="328">
        <f t="shared" si="236"/>
        <v>0.96961094357658872</v>
      </c>
      <c r="BG107" s="312">
        <f t="shared" si="252"/>
        <v>235869150</v>
      </c>
      <c r="BH107" s="328">
        <f t="shared" si="237"/>
        <v>0.11901893983870944</v>
      </c>
      <c r="BI107" s="85"/>
      <c r="BJ107" s="254" t="s">
        <v>79</v>
      </c>
      <c r="BK107" s="254" t="s">
        <v>101</v>
      </c>
      <c r="BL107" s="231" t="s">
        <v>593</v>
      </c>
      <c r="BM107" s="10"/>
      <c r="BN107" s="10"/>
      <c r="BO107" s="10"/>
    </row>
    <row r="108" spans="1:67" ht="49.5" customHeight="1">
      <c r="A108" s="231" t="s">
        <v>680</v>
      </c>
      <c r="B108" s="241" t="s">
        <v>681</v>
      </c>
      <c r="C108" s="241" t="s">
        <v>241</v>
      </c>
      <c r="D108" s="64">
        <v>2</v>
      </c>
      <c r="E108" s="65">
        <v>2</v>
      </c>
      <c r="F108" s="220">
        <v>2</v>
      </c>
      <c r="G108" s="221">
        <v>2</v>
      </c>
      <c r="H108" s="64">
        <v>2</v>
      </c>
      <c r="I108" s="65">
        <v>1</v>
      </c>
      <c r="J108" s="67">
        <v>2</v>
      </c>
      <c r="K108" s="236">
        <v>1</v>
      </c>
      <c r="L108" s="68"/>
      <c r="M108" s="69"/>
      <c r="N108" s="69"/>
      <c r="O108" s="70">
        <v>1</v>
      </c>
      <c r="P108" s="70">
        <f t="shared" ref="P108:Q108" si="257">IF((I108+M108)/E108&gt;=100%,100%,(I108+M108)/E108)</f>
        <v>0.5</v>
      </c>
      <c r="Q108" s="70">
        <f t="shared" si="257"/>
        <v>1</v>
      </c>
      <c r="R108" s="71">
        <f t="shared" si="247"/>
        <v>0.5</v>
      </c>
      <c r="S108" s="265" t="s">
        <v>682</v>
      </c>
      <c r="T108" s="253" t="s">
        <v>683</v>
      </c>
      <c r="U108" s="270" t="s">
        <v>684</v>
      </c>
      <c r="V108" s="231" t="s">
        <v>685</v>
      </c>
      <c r="W108" s="256" t="s">
        <v>686</v>
      </c>
      <c r="X108" s="72">
        <v>45230</v>
      </c>
      <c r="Y108" s="73"/>
      <c r="Z108" s="63"/>
      <c r="AA108" s="76"/>
      <c r="AB108" s="63"/>
      <c r="AC108" s="76">
        <f t="shared" si="248"/>
        <v>8</v>
      </c>
      <c r="AD108" s="76">
        <f t="shared" si="249"/>
        <v>6</v>
      </c>
      <c r="AE108" s="70">
        <f t="shared" si="250"/>
        <v>0.75</v>
      </c>
      <c r="AF108" s="54">
        <f t="shared" si="240"/>
        <v>8.055000000000001E-2</v>
      </c>
      <c r="AG108" s="77">
        <v>0.02</v>
      </c>
      <c r="AH108" s="285">
        <v>0.08</v>
      </c>
      <c r="AI108" s="70">
        <v>0.1111</v>
      </c>
      <c r="AJ108" s="70">
        <v>0.1111</v>
      </c>
      <c r="AK108" s="301">
        <v>25000000</v>
      </c>
      <c r="AL108" s="301">
        <v>20000000</v>
      </c>
      <c r="AM108" s="301">
        <v>35231650</v>
      </c>
      <c r="AN108" s="301">
        <v>0</v>
      </c>
      <c r="AO108" s="301">
        <v>24900398</v>
      </c>
      <c r="AP108" s="79">
        <f t="shared" si="231"/>
        <v>0.99601592000000005</v>
      </c>
      <c r="AQ108" s="80"/>
      <c r="AR108" s="81"/>
      <c r="AS108" s="83"/>
      <c r="AT108" s="343">
        <v>24900398</v>
      </c>
      <c r="AU108" s="329">
        <f t="shared" si="233"/>
        <v>0.99601592000000005</v>
      </c>
      <c r="AV108" s="313"/>
      <c r="AW108" s="313"/>
      <c r="AX108" s="313"/>
      <c r="AY108" s="313"/>
      <c r="AZ108" s="313"/>
      <c r="BA108" s="313"/>
      <c r="BB108" s="313"/>
      <c r="BC108" s="328" t="e">
        <f t="shared" ref="BC108:BC113" si="258">+BB108/BA108</f>
        <v>#DIV/0!</v>
      </c>
      <c r="BD108" s="317">
        <f>94110865+AK108</f>
        <v>119110865</v>
      </c>
      <c r="BE108" s="312">
        <f t="shared" si="251"/>
        <v>80132048</v>
      </c>
      <c r="BF108" s="328">
        <f t="shared" si="236"/>
        <v>0.6727517930459157</v>
      </c>
      <c r="BG108" s="312">
        <f t="shared" si="252"/>
        <v>24900398</v>
      </c>
      <c r="BH108" s="328">
        <f t="shared" si="237"/>
        <v>0.20905228083097205</v>
      </c>
      <c r="BI108" s="85"/>
      <c r="BJ108" s="254" t="s">
        <v>79</v>
      </c>
      <c r="BK108" s="254" t="s">
        <v>101</v>
      </c>
      <c r="BL108" s="231" t="s">
        <v>593</v>
      </c>
      <c r="BM108" s="10"/>
      <c r="BN108" s="10"/>
      <c r="BO108" s="10"/>
    </row>
    <row r="109" spans="1:67" ht="20.100000000000001" customHeight="1">
      <c r="A109" s="231" t="s">
        <v>687</v>
      </c>
      <c r="B109" s="241" t="s">
        <v>688</v>
      </c>
      <c r="C109" s="241" t="s">
        <v>241</v>
      </c>
      <c r="D109" s="64">
        <v>2</v>
      </c>
      <c r="E109" s="65">
        <v>2</v>
      </c>
      <c r="F109" s="220">
        <v>2</v>
      </c>
      <c r="G109" s="221">
        <v>2</v>
      </c>
      <c r="H109" s="64">
        <v>2</v>
      </c>
      <c r="I109" s="65">
        <v>1</v>
      </c>
      <c r="J109" s="67">
        <v>2</v>
      </c>
      <c r="K109" s="236">
        <v>1</v>
      </c>
      <c r="L109" s="68"/>
      <c r="M109" s="69"/>
      <c r="N109" s="69"/>
      <c r="O109" s="70">
        <v>1</v>
      </c>
      <c r="P109" s="70">
        <f t="shared" ref="P109:Q109" si="259">IF((I109+M109)/E109&gt;=100%,100%,(I109+M109)/E109)</f>
        <v>0.5</v>
      </c>
      <c r="Q109" s="70">
        <f t="shared" si="259"/>
        <v>1</v>
      </c>
      <c r="R109" s="71">
        <f t="shared" si="247"/>
        <v>0.5</v>
      </c>
      <c r="S109" s="265" t="s">
        <v>689</v>
      </c>
      <c r="T109" s="253" t="s">
        <v>690</v>
      </c>
      <c r="U109" s="270"/>
      <c r="V109" s="231" t="s">
        <v>691</v>
      </c>
      <c r="W109" s="256" t="s">
        <v>692</v>
      </c>
      <c r="X109" s="72">
        <v>45230</v>
      </c>
      <c r="Y109" s="73"/>
      <c r="Z109" s="63"/>
      <c r="AA109" s="76"/>
      <c r="AB109" s="63"/>
      <c r="AC109" s="76">
        <f t="shared" si="248"/>
        <v>8</v>
      </c>
      <c r="AD109" s="76">
        <f t="shared" si="249"/>
        <v>6</v>
      </c>
      <c r="AE109" s="70">
        <f t="shared" si="250"/>
        <v>0.75</v>
      </c>
      <c r="AF109" s="54">
        <f t="shared" si="240"/>
        <v>6.8049999999999999E-2</v>
      </c>
      <c r="AG109" s="77">
        <v>0.02</v>
      </c>
      <c r="AH109" s="285">
        <v>0.03</v>
      </c>
      <c r="AI109" s="70">
        <v>0.1111</v>
      </c>
      <c r="AJ109" s="70">
        <v>0.1111</v>
      </c>
      <c r="AK109" s="301">
        <v>30000000</v>
      </c>
      <c r="AL109" s="301">
        <v>20000000</v>
      </c>
      <c r="AM109" s="301">
        <v>0</v>
      </c>
      <c r="AN109" s="301">
        <v>0</v>
      </c>
      <c r="AO109" s="301">
        <v>24900398</v>
      </c>
      <c r="AP109" s="79">
        <f t="shared" si="231"/>
        <v>0.83001326666666664</v>
      </c>
      <c r="AQ109" s="80"/>
      <c r="AR109" s="81"/>
      <c r="AS109" s="83"/>
      <c r="AT109" s="343">
        <v>19900398</v>
      </c>
      <c r="AU109" s="329">
        <f t="shared" si="233"/>
        <v>0.66334660000000001</v>
      </c>
      <c r="AV109" s="313"/>
      <c r="AW109" s="313"/>
      <c r="AX109" s="313"/>
      <c r="AY109" s="313"/>
      <c r="AZ109" s="313"/>
      <c r="BA109" s="313"/>
      <c r="BB109" s="313"/>
      <c r="BC109" s="328" t="e">
        <f t="shared" si="258"/>
        <v>#DIV/0!</v>
      </c>
      <c r="BD109" s="317">
        <f>71187837+AK109</f>
        <v>101187837</v>
      </c>
      <c r="BE109" s="312">
        <f t="shared" si="251"/>
        <v>44900398</v>
      </c>
      <c r="BF109" s="328">
        <f t="shared" si="236"/>
        <v>0.44373315342238218</v>
      </c>
      <c r="BG109" s="312">
        <f t="shared" si="252"/>
        <v>19900398</v>
      </c>
      <c r="BH109" s="328">
        <f t="shared" si="237"/>
        <v>0.19666788608200014</v>
      </c>
      <c r="BI109" s="85"/>
      <c r="BJ109" s="254" t="s">
        <v>79</v>
      </c>
      <c r="BK109" s="254" t="s">
        <v>101</v>
      </c>
      <c r="BL109" s="231" t="s">
        <v>593</v>
      </c>
      <c r="BM109" s="10"/>
      <c r="BN109" s="10"/>
      <c r="BO109" s="10"/>
    </row>
    <row r="110" spans="1:67" ht="32.25" customHeight="1">
      <c r="A110" s="231" t="s">
        <v>693</v>
      </c>
      <c r="B110" s="241" t="s">
        <v>694</v>
      </c>
      <c r="C110" s="241" t="s">
        <v>241</v>
      </c>
      <c r="D110" s="64">
        <v>1</v>
      </c>
      <c r="E110" s="65">
        <v>1</v>
      </c>
      <c r="F110" s="220">
        <v>1</v>
      </c>
      <c r="G110" s="222">
        <v>1</v>
      </c>
      <c r="H110" s="64">
        <v>1</v>
      </c>
      <c r="I110" s="65">
        <v>1</v>
      </c>
      <c r="J110" s="67">
        <v>1</v>
      </c>
      <c r="K110" s="236">
        <v>1</v>
      </c>
      <c r="L110" s="68"/>
      <c r="M110" s="69"/>
      <c r="N110" s="69"/>
      <c r="O110" s="70">
        <v>1</v>
      </c>
      <c r="P110" s="70">
        <f t="shared" ref="P110:Q110" si="260">IF((I110+M110)/E110&gt;=100%,100%,(I110+M110)/E110)</f>
        <v>1</v>
      </c>
      <c r="Q110" s="70">
        <f t="shared" si="260"/>
        <v>1</v>
      </c>
      <c r="R110" s="70">
        <f t="shared" si="247"/>
        <v>1</v>
      </c>
      <c r="S110" s="265" t="s">
        <v>695</v>
      </c>
      <c r="T110" s="253" t="s">
        <v>696</v>
      </c>
      <c r="U110" s="270" t="s">
        <v>697</v>
      </c>
      <c r="V110" s="231" t="s">
        <v>698</v>
      </c>
      <c r="W110" s="256" t="s">
        <v>699</v>
      </c>
      <c r="X110" s="72">
        <v>45230</v>
      </c>
      <c r="Y110" s="73"/>
      <c r="Z110" s="73"/>
      <c r="AA110" s="89"/>
      <c r="AB110" s="73"/>
      <c r="AC110" s="89">
        <f t="shared" si="248"/>
        <v>4</v>
      </c>
      <c r="AD110" s="89">
        <f t="shared" si="249"/>
        <v>4</v>
      </c>
      <c r="AE110" s="84">
        <f t="shared" si="250"/>
        <v>1</v>
      </c>
      <c r="AF110" s="54">
        <f t="shared" si="240"/>
        <v>5.8050000000000004E-2</v>
      </c>
      <c r="AG110" s="94">
        <v>0</v>
      </c>
      <c r="AH110" s="284">
        <v>0.01</v>
      </c>
      <c r="AI110" s="84">
        <v>0.1111</v>
      </c>
      <c r="AJ110" s="84">
        <v>0.1111</v>
      </c>
      <c r="AK110" s="301">
        <v>40000000</v>
      </c>
      <c r="AL110" s="301">
        <v>0</v>
      </c>
      <c r="AM110" s="301">
        <v>0</v>
      </c>
      <c r="AN110" s="301">
        <v>0</v>
      </c>
      <c r="AO110" s="301">
        <v>30000000</v>
      </c>
      <c r="AP110" s="79">
        <f t="shared" si="231"/>
        <v>0.75</v>
      </c>
      <c r="AQ110" s="80"/>
      <c r="AR110" s="93"/>
      <c r="AS110" s="82"/>
      <c r="AT110" s="343">
        <v>40000000</v>
      </c>
      <c r="AU110" s="329">
        <f t="shared" si="233"/>
        <v>1</v>
      </c>
      <c r="AV110" s="313"/>
      <c r="AW110" s="313"/>
      <c r="AX110" s="313"/>
      <c r="AY110" s="313"/>
      <c r="AZ110" s="313"/>
      <c r="BA110" s="313"/>
      <c r="BB110" s="313"/>
      <c r="BC110" s="334" t="e">
        <f t="shared" si="258"/>
        <v>#DIV/0!</v>
      </c>
      <c r="BD110" s="317">
        <f>0+AK110</f>
        <v>40000000</v>
      </c>
      <c r="BE110" s="312">
        <f t="shared" si="251"/>
        <v>30000000</v>
      </c>
      <c r="BF110" s="328">
        <f t="shared" si="236"/>
        <v>0.75</v>
      </c>
      <c r="BG110" s="312">
        <f t="shared" si="252"/>
        <v>40000000</v>
      </c>
      <c r="BH110" s="328">
        <f t="shared" si="237"/>
        <v>1</v>
      </c>
      <c r="BI110" s="85"/>
      <c r="BJ110" s="254" t="s">
        <v>79</v>
      </c>
      <c r="BK110" s="254" t="s">
        <v>101</v>
      </c>
      <c r="BL110" s="231" t="s">
        <v>593</v>
      </c>
      <c r="BM110" s="14"/>
      <c r="BN110" s="14"/>
      <c r="BO110" s="14"/>
    </row>
    <row r="111" spans="1:67" ht="30" customHeight="1">
      <c r="A111" s="231" t="s">
        <v>700</v>
      </c>
      <c r="B111" s="241" t="s">
        <v>701</v>
      </c>
      <c r="C111" s="241" t="s">
        <v>241</v>
      </c>
      <c r="D111" s="64">
        <v>3</v>
      </c>
      <c r="E111" s="65">
        <v>3</v>
      </c>
      <c r="F111" s="220">
        <v>3</v>
      </c>
      <c r="G111" s="221">
        <v>3</v>
      </c>
      <c r="H111" s="64">
        <v>3</v>
      </c>
      <c r="I111" s="65">
        <v>3</v>
      </c>
      <c r="J111" s="67">
        <v>3</v>
      </c>
      <c r="K111" s="236">
        <v>3</v>
      </c>
      <c r="L111" s="68"/>
      <c r="M111" s="120"/>
      <c r="N111" s="120"/>
      <c r="O111" s="70">
        <v>1</v>
      </c>
      <c r="P111" s="70">
        <f t="shared" ref="P111:Q111" si="261">IF((I111+M111)/E111&gt;=100%,100%,(I111+M111)/E111)</f>
        <v>1</v>
      </c>
      <c r="Q111" s="70">
        <f t="shared" si="261"/>
        <v>1</v>
      </c>
      <c r="R111" s="71">
        <f t="shared" si="247"/>
        <v>1</v>
      </c>
      <c r="S111" s="265" t="s">
        <v>702</v>
      </c>
      <c r="T111" s="253" t="s">
        <v>703</v>
      </c>
      <c r="U111" s="270" t="s">
        <v>704</v>
      </c>
      <c r="V111" s="231"/>
      <c r="W111" s="256" t="s">
        <v>705</v>
      </c>
      <c r="X111" s="72">
        <v>45230</v>
      </c>
      <c r="Y111" s="73"/>
      <c r="Z111" s="63"/>
      <c r="AA111" s="131"/>
      <c r="AB111" s="63"/>
      <c r="AC111" s="76">
        <f t="shared" si="248"/>
        <v>12</v>
      </c>
      <c r="AD111" s="76">
        <f t="shared" si="249"/>
        <v>12</v>
      </c>
      <c r="AE111" s="70">
        <f t="shared" si="250"/>
        <v>1</v>
      </c>
      <c r="AF111" s="54">
        <f t="shared" si="240"/>
        <v>6.055E-2</v>
      </c>
      <c r="AG111" s="77">
        <v>0</v>
      </c>
      <c r="AH111" s="285">
        <v>0.02</v>
      </c>
      <c r="AI111" s="70">
        <v>0.1111</v>
      </c>
      <c r="AJ111" s="70">
        <v>0.1111</v>
      </c>
      <c r="AK111" s="301">
        <v>0</v>
      </c>
      <c r="AL111" s="301">
        <v>0</v>
      </c>
      <c r="AM111" s="301">
        <v>6024000</v>
      </c>
      <c r="AN111" s="301">
        <v>0</v>
      </c>
      <c r="AO111" s="301">
        <v>0</v>
      </c>
      <c r="AP111" s="79">
        <v>0</v>
      </c>
      <c r="AQ111" s="80"/>
      <c r="AR111" s="81"/>
      <c r="AS111" s="83"/>
      <c r="AT111" s="344">
        <v>0</v>
      </c>
      <c r="AU111" s="329">
        <v>0</v>
      </c>
      <c r="AV111" s="313"/>
      <c r="AW111" s="313"/>
      <c r="AX111" s="313"/>
      <c r="AY111" s="313"/>
      <c r="AZ111" s="313"/>
      <c r="BA111" s="313"/>
      <c r="BB111" s="313"/>
      <c r="BC111" s="328" t="e">
        <f t="shared" si="258"/>
        <v>#DIV/0!</v>
      </c>
      <c r="BD111" s="317">
        <f>6024000+AK111</f>
        <v>6024000</v>
      </c>
      <c r="BE111" s="312">
        <f t="shared" si="251"/>
        <v>6024000</v>
      </c>
      <c r="BF111" s="328">
        <f t="shared" si="236"/>
        <v>1</v>
      </c>
      <c r="BG111" s="312">
        <f t="shared" si="252"/>
        <v>0</v>
      </c>
      <c r="BH111" s="328">
        <f t="shared" si="237"/>
        <v>0</v>
      </c>
      <c r="BI111" s="85"/>
      <c r="BJ111" s="254" t="s">
        <v>79</v>
      </c>
      <c r="BK111" s="254" t="s">
        <v>101</v>
      </c>
      <c r="BL111" s="231" t="s">
        <v>593</v>
      </c>
      <c r="BM111" s="10"/>
      <c r="BN111" s="10"/>
      <c r="BO111" s="10"/>
    </row>
    <row r="112" spans="1:67" ht="30" customHeight="1">
      <c r="A112" s="195" t="s">
        <v>706</v>
      </c>
      <c r="B112" s="53"/>
      <c r="C112" s="53"/>
      <c r="D112" s="53"/>
      <c r="E112" s="53"/>
      <c r="F112" s="53"/>
      <c r="G112" s="53"/>
      <c r="H112" s="53"/>
      <c r="I112" s="53"/>
      <c r="J112" s="53"/>
      <c r="K112" s="53"/>
      <c r="L112" s="53"/>
      <c r="M112" s="53"/>
      <c r="N112" s="53"/>
      <c r="O112" s="54">
        <f>+SUMPRODUCT(O113:O119,AG113:AG119)</f>
        <v>0.99540000000000006</v>
      </c>
      <c r="P112" s="54">
        <f>+SUMPRODUCT(P113:P119,AH113:AH119)</f>
        <v>0.89847600000000005</v>
      </c>
      <c r="Q112" s="54">
        <f>+SUMPRODUCT(Q113:Q119,AI113:AI119)</f>
        <v>0.99217440000000023</v>
      </c>
      <c r="R112" s="54">
        <f>+SUMPRODUCT(R113:R119,AJ113:AJ119)</f>
        <v>0.97562388000000022</v>
      </c>
      <c r="S112" s="259"/>
      <c r="T112" s="259"/>
      <c r="U112" s="259"/>
      <c r="V112" s="259"/>
      <c r="W112" s="259"/>
      <c r="X112" s="55"/>
      <c r="Y112" s="56"/>
      <c r="Z112" s="56"/>
      <c r="AA112" s="56"/>
      <c r="AB112" s="56"/>
      <c r="AC112" s="57"/>
      <c r="AD112" s="57"/>
      <c r="AE112" s="54">
        <f>+SUMPRODUCT(AE113:AE119,AF113:AF119)</f>
        <v>0.96521641000000002</v>
      </c>
      <c r="AF112" s="54">
        <f t="shared" si="240"/>
        <v>0.34097499999999997</v>
      </c>
      <c r="AG112" s="54">
        <v>0.36399999999999999</v>
      </c>
      <c r="AH112" s="249">
        <v>0.33329999999999999</v>
      </c>
      <c r="AI112" s="54">
        <v>0.33329999999999999</v>
      </c>
      <c r="AJ112" s="54">
        <v>0.33329999999999999</v>
      </c>
      <c r="AK112" s="296">
        <f t="shared" ref="AK112:AN112" si="262">SUM(AK113:AK119)</f>
        <v>1129694000</v>
      </c>
      <c r="AL112" s="296">
        <f t="shared" si="262"/>
        <v>294151628</v>
      </c>
      <c r="AM112" s="296">
        <f t="shared" si="262"/>
        <v>646231093</v>
      </c>
      <c r="AN112" s="296">
        <f t="shared" si="262"/>
        <v>792183841</v>
      </c>
      <c r="AO112" s="296">
        <f>SUM(AO113:AO119)</f>
        <v>890145253</v>
      </c>
      <c r="AP112" s="60">
        <f t="shared" ref="AP112:AP125" si="263">+AO112/AK112</f>
        <v>0.78795253670462972</v>
      </c>
      <c r="AQ112" s="58">
        <f t="shared" ref="AQ112:AS112" si="264">SUM(AQ113:AQ119)</f>
        <v>0</v>
      </c>
      <c r="AR112" s="58">
        <f t="shared" si="264"/>
        <v>0</v>
      </c>
      <c r="AS112" s="58">
        <f t="shared" si="264"/>
        <v>0</v>
      </c>
      <c r="AT112" s="323">
        <f>+SUM(AT113:AT119)</f>
        <v>472217721</v>
      </c>
      <c r="AU112" s="331">
        <f t="shared" ref="AU112:AU125" si="265">+AT112/AK112</f>
        <v>0.41800498276524439</v>
      </c>
      <c r="AV112" s="310">
        <f t="shared" ref="AV112:BB112" si="266">SUM(AV113:AV119)</f>
        <v>0</v>
      </c>
      <c r="AW112" s="310">
        <f t="shared" si="266"/>
        <v>0</v>
      </c>
      <c r="AX112" s="310">
        <f t="shared" si="266"/>
        <v>0</v>
      </c>
      <c r="AY112" s="310">
        <f t="shared" si="266"/>
        <v>0</v>
      </c>
      <c r="AZ112" s="310">
        <f t="shared" si="266"/>
        <v>0</v>
      </c>
      <c r="BA112" s="310">
        <f t="shared" si="266"/>
        <v>0</v>
      </c>
      <c r="BB112" s="310">
        <f t="shared" si="266"/>
        <v>0</v>
      </c>
      <c r="BC112" s="325" t="e">
        <f t="shared" si="258"/>
        <v>#DIV/0!</v>
      </c>
      <c r="BD112" s="300">
        <f t="shared" ref="BD112:BE112" si="267">SUM(BD113:BD119)</f>
        <v>3170587794</v>
      </c>
      <c r="BE112" s="300">
        <f t="shared" si="267"/>
        <v>2622711815</v>
      </c>
      <c r="BF112" s="325">
        <f t="shared" si="236"/>
        <v>0.8272005020530272</v>
      </c>
      <c r="BG112" s="300">
        <f>SUM(BG113:BG119)</f>
        <v>472217721</v>
      </c>
      <c r="BH112" s="325">
        <f>+BG112/BD112</f>
        <v>0.14893696427319306</v>
      </c>
      <c r="BI112" s="56"/>
      <c r="BJ112" s="350" t="s">
        <v>79</v>
      </c>
      <c r="BK112" s="350" t="s">
        <v>83</v>
      </c>
      <c r="BL112" s="350" t="s">
        <v>230</v>
      </c>
      <c r="BM112" s="10"/>
      <c r="BN112" s="10"/>
      <c r="BO112" s="10"/>
    </row>
    <row r="113" spans="1:67" ht="20.100000000000001" customHeight="1">
      <c r="A113" s="231" t="s">
        <v>228</v>
      </c>
      <c r="B113" s="231"/>
      <c r="C113" s="241" t="s">
        <v>229</v>
      </c>
      <c r="D113" s="64">
        <v>0</v>
      </c>
      <c r="E113" s="65">
        <v>100</v>
      </c>
      <c r="F113" s="220">
        <v>100</v>
      </c>
      <c r="G113" s="66">
        <v>100</v>
      </c>
      <c r="H113" s="64">
        <v>0</v>
      </c>
      <c r="I113" s="65">
        <v>91</v>
      </c>
      <c r="J113" s="67">
        <v>94.8</v>
      </c>
      <c r="K113" s="233">
        <v>83.21</v>
      </c>
      <c r="L113" s="68"/>
      <c r="M113" s="69"/>
      <c r="N113" s="69"/>
      <c r="O113" s="70">
        <v>0</v>
      </c>
      <c r="P113" s="71">
        <f t="shared" ref="P113:Q113" si="268">IF((I113+M113)/E113&gt;=100%,100%,(I113+M113)/E113)</f>
        <v>0.91</v>
      </c>
      <c r="Q113" s="70">
        <f t="shared" si="268"/>
        <v>0.94799999999999995</v>
      </c>
      <c r="R113" s="125">
        <f t="shared" ref="R113:R119" si="269">IF(K113/G113&gt;=100%,100%,K113/G113)</f>
        <v>0.83209999999999995</v>
      </c>
      <c r="S113" s="269"/>
      <c r="T113" s="269"/>
      <c r="U113" s="269"/>
      <c r="V113" s="231"/>
      <c r="W113" s="231"/>
      <c r="X113" s="72">
        <v>45230</v>
      </c>
      <c r="Y113" s="73"/>
      <c r="Z113" s="63"/>
      <c r="AA113" s="74"/>
      <c r="AB113" s="75"/>
      <c r="AC113" s="76">
        <f t="shared" ref="AC113:AC119" si="270">SUM(D113:G113)</f>
        <v>300</v>
      </c>
      <c r="AD113" s="76">
        <f t="shared" ref="AD113:AD119" si="271">SUM(H113:N113)</f>
        <v>269.01</v>
      </c>
      <c r="AE113" s="70">
        <f t="shared" ref="AE113:AE119" si="272">IF(AD113/AC113&gt;=100%,100%,AD113/AC113)</f>
        <v>0.89669999999999994</v>
      </c>
      <c r="AF113" s="54">
        <f t="shared" si="240"/>
        <v>0.12230000000000002</v>
      </c>
      <c r="AG113" s="77">
        <v>0</v>
      </c>
      <c r="AH113" s="289">
        <v>0.2036</v>
      </c>
      <c r="AI113" s="70">
        <v>0.14280000000000001</v>
      </c>
      <c r="AJ113" s="70">
        <v>0.14280000000000001</v>
      </c>
      <c r="AK113" s="301">
        <v>234814000</v>
      </c>
      <c r="AL113" s="301">
        <v>0</v>
      </c>
      <c r="AM113" s="301">
        <f>127179416+22288700</f>
        <v>149468116</v>
      </c>
      <c r="AN113" s="301">
        <v>191482589</v>
      </c>
      <c r="AO113" s="301">
        <v>195383518</v>
      </c>
      <c r="AP113" s="79">
        <f t="shared" si="263"/>
        <v>0.832077806263681</v>
      </c>
      <c r="AQ113" s="80"/>
      <c r="AR113" s="81"/>
      <c r="AS113" s="81"/>
      <c r="AT113" s="343">
        <v>193924096</v>
      </c>
      <c r="AU113" s="329">
        <f t="shared" si="265"/>
        <v>0.8258625805957055</v>
      </c>
      <c r="AV113" s="313"/>
      <c r="AW113" s="313"/>
      <c r="AX113" s="313"/>
      <c r="AY113" s="313"/>
      <c r="AZ113" s="313"/>
      <c r="BA113" s="313"/>
      <c r="BB113" s="313"/>
      <c r="BC113" s="328" t="e">
        <f t="shared" si="258"/>
        <v>#DIV/0!</v>
      </c>
      <c r="BD113" s="317">
        <f>365549000+AK113</f>
        <v>600363000</v>
      </c>
      <c r="BE113" s="312">
        <f t="shared" ref="BE113:BE119" si="273">+AL113+AM113+AN113+AO113</f>
        <v>536334223</v>
      </c>
      <c r="BF113" s="328">
        <f t="shared" si="236"/>
        <v>0.89334989498020367</v>
      </c>
      <c r="BG113" s="312">
        <f t="shared" ref="BG113:BG119" si="274">SUM(AQ113:AT113)+AX113+AZ113+BB113</f>
        <v>193924096</v>
      </c>
      <c r="BH113" s="328">
        <f t="shared" si="237"/>
        <v>0.32301140476678275</v>
      </c>
      <c r="BI113" s="85"/>
      <c r="BJ113" s="254" t="s">
        <v>81</v>
      </c>
      <c r="BK113" s="254" t="s">
        <v>83</v>
      </c>
      <c r="BL113" s="231" t="s">
        <v>230</v>
      </c>
      <c r="BM113" s="10"/>
      <c r="BN113" s="10"/>
      <c r="BO113" s="10"/>
    </row>
    <row r="114" spans="1:67" ht="31.5" customHeight="1">
      <c r="A114" s="231" t="s">
        <v>707</v>
      </c>
      <c r="B114" s="241" t="s">
        <v>708</v>
      </c>
      <c r="C114" s="241" t="s">
        <v>241</v>
      </c>
      <c r="D114" s="64">
        <v>5</v>
      </c>
      <c r="E114" s="65">
        <v>5</v>
      </c>
      <c r="F114" s="220">
        <v>5</v>
      </c>
      <c r="G114" s="221">
        <v>5</v>
      </c>
      <c r="H114" s="64">
        <v>5</v>
      </c>
      <c r="I114" s="65">
        <v>5</v>
      </c>
      <c r="J114" s="67">
        <v>5</v>
      </c>
      <c r="K114" s="234">
        <v>5</v>
      </c>
      <c r="L114" s="68"/>
      <c r="M114" s="69"/>
      <c r="N114" s="69"/>
      <c r="O114" s="70">
        <f t="shared" ref="O114:Q114" si="275">IF((H114+L114)/D114&gt;=100%,100%,(H114+L114)/D114)</f>
        <v>1</v>
      </c>
      <c r="P114" s="71">
        <f t="shared" si="275"/>
        <v>1</v>
      </c>
      <c r="Q114" s="70">
        <f t="shared" si="275"/>
        <v>1</v>
      </c>
      <c r="R114" s="125">
        <f t="shared" si="269"/>
        <v>1</v>
      </c>
      <c r="S114" s="256" t="s">
        <v>709</v>
      </c>
      <c r="T114" s="256" t="s">
        <v>710</v>
      </c>
      <c r="U114" s="256" t="s">
        <v>711</v>
      </c>
      <c r="V114" s="231" t="s">
        <v>712</v>
      </c>
      <c r="W114" s="256" t="s">
        <v>713</v>
      </c>
      <c r="X114" s="72">
        <v>45230</v>
      </c>
      <c r="Y114" s="73"/>
      <c r="Z114" s="63"/>
      <c r="AA114" s="74"/>
      <c r="AB114" s="75"/>
      <c r="AC114" s="76">
        <f t="shared" si="270"/>
        <v>20</v>
      </c>
      <c r="AD114" s="76">
        <f t="shared" si="271"/>
        <v>20</v>
      </c>
      <c r="AE114" s="70">
        <f t="shared" si="272"/>
        <v>1</v>
      </c>
      <c r="AF114" s="54">
        <f t="shared" si="240"/>
        <v>0.132275</v>
      </c>
      <c r="AG114" s="77">
        <v>0.1027</v>
      </c>
      <c r="AH114" s="285">
        <v>0.14080000000000001</v>
      </c>
      <c r="AI114" s="70">
        <v>0.14280000000000001</v>
      </c>
      <c r="AJ114" s="70">
        <v>0.14280000000000001</v>
      </c>
      <c r="AK114" s="301">
        <v>214407969</v>
      </c>
      <c r="AL114" s="301">
        <v>0</v>
      </c>
      <c r="AM114" s="301">
        <v>96726585</v>
      </c>
      <c r="AN114" s="301">
        <v>77937677</v>
      </c>
      <c r="AO114" s="301">
        <v>51365773</v>
      </c>
      <c r="AP114" s="79">
        <f t="shared" si="263"/>
        <v>0.23957026056247005</v>
      </c>
      <c r="AQ114" s="80"/>
      <c r="AR114" s="81"/>
      <c r="AS114" s="81"/>
      <c r="AT114" s="343">
        <v>38676068</v>
      </c>
      <c r="AU114" s="329">
        <f t="shared" si="265"/>
        <v>0.18038540349216217</v>
      </c>
      <c r="AV114" s="313"/>
      <c r="AW114" s="313"/>
      <c r="AX114" s="313"/>
      <c r="AY114" s="313"/>
      <c r="AZ114" s="313"/>
      <c r="BA114" s="313"/>
      <c r="BB114" s="313"/>
      <c r="BC114" s="328"/>
      <c r="BD114" s="317">
        <f>218327718+AK114</f>
        <v>432735687</v>
      </c>
      <c r="BE114" s="312">
        <f t="shared" si="273"/>
        <v>226030035</v>
      </c>
      <c r="BF114" s="328">
        <f t="shared" si="236"/>
        <v>0.52232815963708579</v>
      </c>
      <c r="BG114" s="312">
        <f t="shared" si="274"/>
        <v>38676068</v>
      </c>
      <c r="BH114" s="328">
        <f t="shared" si="237"/>
        <v>8.9375730178685261E-2</v>
      </c>
      <c r="BI114" s="85"/>
      <c r="BJ114" s="254" t="s">
        <v>79</v>
      </c>
      <c r="BK114" s="254" t="s">
        <v>83</v>
      </c>
      <c r="BL114" s="231" t="s">
        <v>230</v>
      </c>
      <c r="BM114" s="10"/>
      <c r="BN114" s="10"/>
      <c r="BO114" s="10"/>
    </row>
    <row r="115" spans="1:67" ht="31.5" customHeight="1">
      <c r="A115" s="231" t="s">
        <v>714</v>
      </c>
      <c r="B115" s="241" t="s">
        <v>715</v>
      </c>
      <c r="C115" s="241" t="s">
        <v>241</v>
      </c>
      <c r="D115" s="64">
        <v>5</v>
      </c>
      <c r="E115" s="65">
        <v>5</v>
      </c>
      <c r="F115" s="220">
        <v>5</v>
      </c>
      <c r="G115" s="221">
        <v>5</v>
      </c>
      <c r="H115" s="64">
        <v>5</v>
      </c>
      <c r="I115" s="65">
        <v>5</v>
      </c>
      <c r="J115" s="67">
        <v>5</v>
      </c>
      <c r="K115" s="234">
        <v>5</v>
      </c>
      <c r="L115" s="68"/>
      <c r="M115" s="69"/>
      <c r="N115" s="69"/>
      <c r="O115" s="70">
        <v>1</v>
      </c>
      <c r="P115" s="71">
        <f t="shared" ref="P115:Q115" si="276">IF((I115+M115)/E115&gt;=100%,100%,(I115+M115)/E115)</f>
        <v>1</v>
      </c>
      <c r="Q115" s="70">
        <f t="shared" si="276"/>
        <v>1</v>
      </c>
      <c r="R115" s="125">
        <f t="shared" si="269"/>
        <v>1</v>
      </c>
      <c r="S115" s="256" t="s">
        <v>716</v>
      </c>
      <c r="T115" s="256" t="s">
        <v>717</v>
      </c>
      <c r="U115" s="256" t="s">
        <v>718</v>
      </c>
      <c r="V115" s="231" t="s">
        <v>719</v>
      </c>
      <c r="W115" s="256" t="s">
        <v>720</v>
      </c>
      <c r="X115" s="72">
        <v>45230</v>
      </c>
      <c r="Y115" s="73"/>
      <c r="Z115" s="63"/>
      <c r="AA115" s="74"/>
      <c r="AB115" s="75"/>
      <c r="AC115" s="76">
        <f t="shared" si="270"/>
        <v>20</v>
      </c>
      <c r="AD115" s="76">
        <f t="shared" si="271"/>
        <v>20</v>
      </c>
      <c r="AE115" s="70">
        <f t="shared" si="272"/>
        <v>1</v>
      </c>
      <c r="AF115" s="54">
        <f t="shared" si="240"/>
        <v>0.25630000000000003</v>
      </c>
      <c r="AG115" s="77">
        <v>0.43959999999999999</v>
      </c>
      <c r="AH115" s="285">
        <v>0.3</v>
      </c>
      <c r="AI115" s="70">
        <v>0.14280000000000001</v>
      </c>
      <c r="AJ115" s="70">
        <v>0.14280000000000001</v>
      </c>
      <c r="AK115" s="301">
        <v>361592032</v>
      </c>
      <c r="AL115" s="301">
        <v>150000000</v>
      </c>
      <c r="AM115" s="301">
        <v>278227392</v>
      </c>
      <c r="AN115" s="301">
        <v>179999998</v>
      </c>
      <c r="AO115" s="301">
        <v>361592032</v>
      </c>
      <c r="AP115" s="79">
        <f t="shared" si="263"/>
        <v>1</v>
      </c>
      <c r="AQ115" s="80"/>
      <c r="AR115" s="81"/>
      <c r="AS115" s="81"/>
      <c r="AT115" s="343">
        <v>154436026</v>
      </c>
      <c r="AU115" s="329">
        <f t="shared" si="265"/>
        <v>0.42710019119005366</v>
      </c>
      <c r="AV115" s="313"/>
      <c r="AW115" s="313"/>
      <c r="AX115" s="313"/>
      <c r="AY115" s="313"/>
      <c r="AZ115" s="313"/>
      <c r="BA115" s="313"/>
      <c r="BB115" s="313"/>
      <c r="BC115" s="328"/>
      <c r="BD115" s="317">
        <f>690354103+AK115</f>
        <v>1051946135</v>
      </c>
      <c r="BE115" s="312">
        <f t="shared" si="273"/>
        <v>969819422</v>
      </c>
      <c r="BF115" s="328">
        <f t="shared" si="236"/>
        <v>0.92192878488022578</v>
      </c>
      <c r="BG115" s="312">
        <f t="shared" si="274"/>
        <v>154436026</v>
      </c>
      <c r="BH115" s="328">
        <f t="shared" si="237"/>
        <v>0.14680982310943136</v>
      </c>
      <c r="BI115" s="85"/>
      <c r="BJ115" s="254" t="s">
        <v>79</v>
      </c>
      <c r="BK115" s="254" t="s">
        <v>83</v>
      </c>
      <c r="BL115" s="231" t="s">
        <v>230</v>
      </c>
      <c r="BM115" s="10"/>
      <c r="BN115" s="10"/>
      <c r="BO115" s="10"/>
    </row>
    <row r="116" spans="1:67" ht="31.5" customHeight="1">
      <c r="A116" s="231" t="s">
        <v>721</v>
      </c>
      <c r="B116" s="241" t="s">
        <v>722</v>
      </c>
      <c r="C116" s="241" t="s">
        <v>241</v>
      </c>
      <c r="D116" s="64">
        <v>2</v>
      </c>
      <c r="E116" s="65">
        <v>2</v>
      </c>
      <c r="F116" s="220">
        <v>2</v>
      </c>
      <c r="G116" s="222">
        <v>2</v>
      </c>
      <c r="H116" s="64">
        <v>2</v>
      </c>
      <c r="I116" s="65">
        <v>2</v>
      </c>
      <c r="J116" s="67">
        <v>2</v>
      </c>
      <c r="K116" s="234">
        <v>2</v>
      </c>
      <c r="L116" s="68"/>
      <c r="M116" s="69"/>
      <c r="N116" s="69"/>
      <c r="O116" s="70">
        <v>1</v>
      </c>
      <c r="P116" s="71">
        <f t="shared" ref="P116:Q116" si="277">IF((I116+M116)/E116&gt;=100%,100%,(I116+M116)/E116)</f>
        <v>1</v>
      </c>
      <c r="Q116" s="70">
        <f t="shared" si="277"/>
        <v>1</v>
      </c>
      <c r="R116" s="198">
        <f t="shared" si="269"/>
        <v>1</v>
      </c>
      <c r="S116" s="258" t="s">
        <v>723</v>
      </c>
      <c r="T116" s="256" t="s">
        <v>724</v>
      </c>
      <c r="U116" s="256" t="s">
        <v>725</v>
      </c>
      <c r="V116" s="231" t="s">
        <v>726</v>
      </c>
      <c r="W116" s="256" t="s">
        <v>727</v>
      </c>
      <c r="X116" s="72">
        <v>45230</v>
      </c>
      <c r="Y116" s="73"/>
      <c r="Z116" s="73"/>
      <c r="AA116" s="85"/>
      <c r="AB116" s="88"/>
      <c r="AC116" s="89">
        <f t="shared" si="270"/>
        <v>8</v>
      </c>
      <c r="AD116" s="89">
        <f t="shared" si="271"/>
        <v>8</v>
      </c>
      <c r="AE116" s="84">
        <f t="shared" si="272"/>
        <v>1</v>
      </c>
      <c r="AF116" s="54">
        <f t="shared" si="240"/>
        <v>0.12065000000000001</v>
      </c>
      <c r="AG116" s="94">
        <v>5.7000000000000002E-2</v>
      </c>
      <c r="AH116" s="284">
        <v>0.14000000000000001</v>
      </c>
      <c r="AI116" s="84">
        <v>0.14280000000000001</v>
      </c>
      <c r="AJ116" s="84">
        <v>0.14280000000000001</v>
      </c>
      <c r="AK116" s="301">
        <v>137056912</v>
      </c>
      <c r="AL116" s="301">
        <v>24152268</v>
      </c>
      <c r="AM116" s="301">
        <v>101249000</v>
      </c>
      <c r="AN116" s="301">
        <v>60000000</v>
      </c>
      <c r="AO116" s="301">
        <v>137056912</v>
      </c>
      <c r="AP116" s="79">
        <f t="shared" si="263"/>
        <v>1</v>
      </c>
      <c r="AQ116" s="80"/>
      <c r="AR116" s="93"/>
      <c r="AS116" s="93"/>
      <c r="AT116" s="343">
        <v>15000000</v>
      </c>
      <c r="AU116" s="329">
        <f t="shared" si="265"/>
        <v>0.10944358647158196</v>
      </c>
      <c r="AV116" s="313"/>
      <c r="AW116" s="313"/>
      <c r="AX116" s="313"/>
      <c r="AY116" s="313"/>
      <c r="AZ116" s="313"/>
      <c r="BA116" s="313"/>
      <c r="BB116" s="313"/>
      <c r="BC116" s="334"/>
      <c r="BD116" s="317">
        <f>279052268+AK116</f>
        <v>416109180</v>
      </c>
      <c r="BE116" s="312">
        <f t="shared" si="273"/>
        <v>322458180</v>
      </c>
      <c r="BF116" s="328">
        <f t="shared" si="236"/>
        <v>0.77493647220183892</v>
      </c>
      <c r="BG116" s="312">
        <f t="shared" si="274"/>
        <v>15000000</v>
      </c>
      <c r="BH116" s="328">
        <f t="shared" si="237"/>
        <v>3.6048231380043094E-2</v>
      </c>
      <c r="BI116" s="85"/>
      <c r="BJ116" s="254" t="s">
        <v>79</v>
      </c>
      <c r="BK116" s="254" t="s">
        <v>83</v>
      </c>
      <c r="BL116" s="231" t="s">
        <v>230</v>
      </c>
      <c r="BM116" s="14"/>
      <c r="BN116" s="14"/>
      <c r="BO116" s="14"/>
    </row>
    <row r="117" spans="1:67" ht="31.5" customHeight="1">
      <c r="A117" s="231" t="s">
        <v>728</v>
      </c>
      <c r="B117" s="241" t="s">
        <v>729</v>
      </c>
      <c r="C117" s="241" t="s">
        <v>241</v>
      </c>
      <c r="D117" s="64">
        <v>1</v>
      </c>
      <c r="E117" s="65">
        <v>1</v>
      </c>
      <c r="F117" s="220">
        <v>1</v>
      </c>
      <c r="G117" s="222">
        <v>1</v>
      </c>
      <c r="H117" s="64">
        <v>1</v>
      </c>
      <c r="I117" s="65">
        <v>1</v>
      </c>
      <c r="J117" s="67">
        <v>1</v>
      </c>
      <c r="K117" s="234">
        <v>1</v>
      </c>
      <c r="L117" s="68"/>
      <c r="M117" s="69"/>
      <c r="N117" s="69"/>
      <c r="O117" s="70">
        <f t="shared" ref="O117:Q117" si="278">IF((H117+L117)/D117&gt;=100%,100%,(H117+L117)/D117)</f>
        <v>1</v>
      </c>
      <c r="P117" s="71">
        <f t="shared" si="278"/>
        <v>1</v>
      </c>
      <c r="Q117" s="70">
        <f t="shared" si="278"/>
        <v>1</v>
      </c>
      <c r="R117" s="70">
        <f t="shared" si="269"/>
        <v>1</v>
      </c>
      <c r="S117" s="258" t="s">
        <v>730</v>
      </c>
      <c r="T117" s="253" t="s">
        <v>731</v>
      </c>
      <c r="U117" s="270" t="s">
        <v>732</v>
      </c>
      <c r="V117" s="231" t="s">
        <v>733</v>
      </c>
      <c r="W117" s="256" t="s">
        <v>734</v>
      </c>
      <c r="X117" s="72">
        <v>45230</v>
      </c>
      <c r="Y117" s="73"/>
      <c r="Z117" s="73"/>
      <c r="AA117" s="85"/>
      <c r="AB117" s="88"/>
      <c r="AC117" s="89">
        <f t="shared" si="270"/>
        <v>4</v>
      </c>
      <c r="AD117" s="89">
        <f t="shared" si="271"/>
        <v>4</v>
      </c>
      <c r="AE117" s="84">
        <f t="shared" si="272"/>
        <v>1</v>
      </c>
      <c r="AF117" s="54">
        <f t="shared" si="240"/>
        <v>0.13775000000000001</v>
      </c>
      <c r="AG117" s="94">
        <v>0.18859999999999999</v>
      </c>
      <c r="AH117" s="284">
        <v>7.6799999999999993E-2</v>
      </c>
      <c r="AI117" s="84">
        <v>0.14280000000000001</v>
      </c>
      <c r="AJ117" s="84">
        <v>0.14280000000000001</v>
      </c>
      <c r="AK117" s="301">
        <v>68196070</v>
      </c>
      <c r="AL117" s="301">
        <v>80000000</v>
      </c>
      <c r="AM117" s="301">
        <v>0</v>
      </c>
      <c r="AN117" s="301">
        <v>135000000</v>
      </c>
      <c r="AO117" s="301">
        <v>40000000</v>
      </c>
      <c r="AP117" s="79">
        <f t="shared" si="263"/>
        <v>0.58654406331625852</v>
      </c>
      <c r="AQ117" s="80"/>
      <c r="AR117" s="93"/>
      <c r="AS117" s="93"/>
      <c r="AT117" s="343">
        <v>16000000</v>
      </c>
      <c r="AU117" s="329">
        <f t="shared" si="265"/>
        <v>0.23461762532650343</v>
      </c>
      <c r="AV117" s="313"/>
      <c r="AW117" s="313"/>
      <c r="AX117" s="313"/>
      <c r="AY117" s="313"/>
      <c r="AZ117" s="313"/>
      <c r="BA117" s="313"/>
      <c r="BB117" s="313"/>
      <c r="BC117" s="334" t="e">
        <f t="shared" ref="BC117:BC121" si="279">+BB117/BA117</f>
        <v>#DIV/0!</v>
      </c>
      <c r="BD117" s="317">
        <f>249287118+AK117</f>
        <v>317483188</v>
      </c>
      <c r="BE117" s="312">
        <f t="shared" si="273"/>
        <v>255000000</v>
      </c>
      <c r="BF117" s="328">
        <f t="shared" si="236"/>
        <v>0.80319213627148034</v>
      </c>
      <c r="BG117" s="312">
        <f t="shared" si="274"/>
        <v>16000000</v>
      </c>
      <c r="BH117" s="328">
        <f t="shared" si="237"/>
        <v>5.039636933468112E-2</v>
      </c>
      <c r="BI117" s="85"/>
      <c r="BJ117" s="254" t="s">
        <v>79</v>
      </c>
      <c r="BK117" s="254" t="s">
        <v>83</v>
      </c>
      <c r="BL117" s="231" t="s">
        <v>230</v>
      </c>
      <c r="BM117" s="14"/>
      <c r="BN117" s="14"/>
      <c r="BO117" s="14"/>
    </row>
    <row r="118" spans="1:67" ht="40.5" customHeight="1">
      <c r="A118" s="231" t="s">
        <v>735</v>
      </c>
      <c r="B118" s="241" t="s">
        <v>736</v>
      </c>
      <c r="C118" s="241" t="s">
        <v>241</v>
      </c>
      <c r="D118" s="64">
        <v>1</v>
      </c>
      <c r="E118" s="65">
        <v>1</v>
      </c>
      <c r="F118" s="220">
        <v>1</v>
      </c>
      <c r="G118" s="222">
        <v>1</v>
      </c>
      <c r="H118" s="64">
        <v>1</v>
      </c>
      <c r="I118" s="65">
        <v>1</v>
      </c>
      <c r="J118" s="67">
        <v>1</v>
      </c>
      <c r="K118" s="234">
        <v>1</v>
      </c>
      <c r="L118" s="68"/>
      <c r="M118" s="69"/>
      <c r="N118" s="69"/>
      <c r="O118" s="70">
        <v>1</v>
      </c>
      <c r="P118" s="71">
        <f t="shared" ref="P118:Q118" si="280">IF((I118+M118)/E118&gt;=100%,100%,(I118+M118)/E118)</f>
        <v>1</v>
      </c>
      <c r="Q118" s="70">
        <f t="shared" si="280"/>
        <v>1</v>
      </c>
      <c r="R118" s="70">
        <f t="shared" si="269"/>
        <v>1</v>
      </c>
      <c r="S118" s="258" t="s">
        <v>737</v>
      </c>
      <c r="T118" s="253" t="s">
        <v>738</v>
      </c>
      <c r="U118" s="270" t="s">
        <v>739</v>
      </c>
      <c r="V118" s="231"/>
      <c r="W118" s="256" t="s">
        <v>740</v>
      </c>
      <c r="X118" s="72">
        <v>45230</v>
      </c>
      <c r="Y118" s="73"/>
      <c r="Z118" s="73"/>
      <c r="AA118" s="85"/>
      <c r="AB118" s="88"/>
      <c r="AC118" s="89">
        <f t="shared" si="270"/>
        <v>4</v>
      </c>
      <c r="AD118" s="89">
        <f t="shared" si="271"/>
        <v>4</v>
      </c>
      <c r="AE118" s="84">
        <f t="shared" si="272"/>
        <v>1</v>
      </c>
      <c r="AF118" s="54">
        <f t="shared" si="240"/>
        <v>8.8275000000000006E-2</v>
      </c>
      <c r="AG118" s="94">
        <v>3.7499999999999999E-2</v>
      </c>
      <c r="AH118" s="284">
        <v>0.03</v>
      </c>
      <c r="AI118" s="84">
        <v>0.14280000000000001</v>
      </c>
      <c r="AJ118" s="84">
        <v>0.14280000000000001</v>
      </c>
      <c r="AK118" s="301">
        <v>44747018</v>
      </c>
      <c r="AL118" s="301">
        <v>39999360</v>
      </c>
      <c r="AM118" s="301">
        <v>0</v>
      </c>
      <c r="AN118" s="301">
        <v>45799990</v>
      </c>
      <c r="AO118" s="301">
        <v>44747018</v>
      </c>
      <c r="AP118" s="79">
        <f t="shared" si="263"/>
        <v>1</v>
      </c>
      <c r="AQ118" s="80"/>
      <c r="AR118" s="93"/>
      <c r="AS118" s="93"/>
      <c r="AT118" s="344">
        <v>0</v>
      </c>
      <c r="AU118" s="329">
        <f t="shared" si="265"/>
        <v>0</v>
      </c>
      <c r="AV118" s="313"/>
      <c r="AW118" s="313"/>
      <c r="AX118" s="313"/>
      <c r="AY118" s="313"/>
      <c r="AZ118" s="313"/>
      <c r="BA118" s="313"/>
      <c r="BB118" s="313"/>
      <c r="BC118" s="334" t="e">
        <f t="shared" si="279"/>
        <v>#DIV/0!</v>
      </c>
      <c r="BD118" s="317">
        <f>115800000+AK118</f>
        <v>160547018</v>
      </c>
      <c r="BE118" s="312">
        <f t="shared" si="273"/>
        <v>130546368</v>
      </c>
      <c r="BF118" s="328">
        <f t="shared" si="236"/>
        <v>0.8131348039114622</v>
      </c>
      <c r="BG118" s="312">
        <f t="shared" si="274"/>
        <v>0</v>
      </c>
      <c r="BH118" s="328">
        <f t="shared" si="237"/>
        <v>0</v>
      </c>
      <c r="BI118" s="85"/>
      <c r="BJ118" s="254" t="s">
        <v>79</v>
      </c>
      <c r="BK118" s="254" t="s">
        <v>83</v>
      </c>
      <c r="BL118" s="231" t="s">
        <v>230</v>
      </c>
      <c r="BM118" s="14"/>
      <c r="BN118" s="14"/>
      <c r="BO118" s="14"/>
    </row>
    <row r="119" spans="1:67" ht="31.5" customHeight="1">
      <c r="A119" s="231" t="s">
        <v>741</v>
      </c>
      <c r="B119" s="241" t="s">
        <v>742</v>
      </c>
      <c r="C119" s="241" t="s">
        <v>241</v>
      </c>
      <c r="D119" s="64">
        <v>2</v>
      </c>
      <c r="E119" s="65">
        <v>2</v>
      </c>
      <c r="F119" s="220">
        <v>2</v>
      </c>
      <c r="G119" s="221">
        <v>2</v>
      </c>
      <c r="H119" s="64">
        <v>2</v>
      </c>
      <c r="I119" s="65">
        <v>2</v>
      </c>
      <c r="J119" s="67">
        <v>2</v>
      </c>
      <c r="K119" s="236">
        <v>2</v>
      </c>
      <c r="L119" s="68"/>
      <c r="M119" s="69"/>
      <c r="N119" s="69"/>
      <c r="O119" s="70">
        <v>1</v>
      </c>
      <c r="P119" s="71">
        <f t="shared" ref="P119:Q119" si="281">IF((I119+M119)/E119&gt;=100%,100%,(I119+M119)/E119)</f>
        <v>1</v>
      </c>
      <c r="Q119" s="70">
        <f t="shared" si="281"/>
        <v>1</v>
      </c>
      <c r="R119" s="71">
        <f t="shared" si="269"/>
        <v>1</v>
      </c>
      <c r="S119" s="265" t="s">
        <v>743</v>
      </c>
      <c r="T119" s="256" t="s">
        <v>744</v>
      </c>
      <c r="U119" s="256" t="s">
        <v>745</v>
      </c>
      <c r="V119" s="231"/>
      <c r="W119" s="256" t="s">
        <v>746</v>
      </c>
      <c r="X119" s="72">
        <v>45230</v>
      </c>
      <c r="Y119" s="73"/>
      <c r="Z119" s="63"/>
      <c r="AA119" s="74"/>
      <c r="AB119" s="75"/>
      <c r="AC119" s="76">
        <f t="shared" si="270"/>
        <v>8</v>
      </c>
      <c r="AD119" s="76">
        <f t="shared" si="271"/>
        <v>8</v>
      </c>
      <c r="AE119" s="70">
        <f t="shared" si="272"/>
        <v>1</v>
      </c>
      <c r="AF119" s="54">
        <f t="shared" si="240"/>
        <v>0.12030000000000002</v>
      </c>
      <c r="AG119" s="77">
        <v>0.17</v>
      </c>
      <c r="AH119" s="285">
        <v>2.5600000000000001E-2</v>
      </c>
      <c r="AI119" s="70">
        <v>0.14280000000000001</v>
      </c>
      <c r="AJ119" s="70">
        <v>0.14280000000000001</v>
      </c>
      <c r="AK119" s="301">
        <v>68879999</v>
      </c>
      <c r="AL119" s="301">
        <v>0</v>
      </c>
      <c r="AM119" s="301">
        <v>20560000</v>
      </c>
      <c r="AN119" s="301">
        <v>101963587</v>
      </c>
      <c r="AO119" s="301">
        <v>60000000</v>
      </c>
      <c r="AP119" s="79">
        <f t="shared" si="263"/>
        <v>0.871080152019166</v>
      </c>
      <c r="AQ119" s="80"/>
      <c r="AR119" s="81"/>
      <c r="AS119" s="81"/>
      <c r="AT119" s="343">
        <v>54181531</v>
      </c>
      <c r="AU119" s="329">
        <f t="shared" si="265"/>
        <v>0.78660760433518584</v>
      </c>
      <c r="AV119" s="313"/>
      <c r="AW119" s="313"/>
      <c r="AX119" s="313"/>
      <c r="AY119" s="313"/>
      <c r="AZ119" s="313"/>
      <c r="BA119" s="313"/>
      <c r="BB119" s="313"/>
      <c r="BC119" s="328" t="e">
        <f t="shared" si="279"/>
        <v>#DIV/0!</v>
      </c>
      <c r="BD119" s="317">
        <f>122523587+AK119</f>
        <v>191403586</v>
      </c>
      <c r="BE119" s="312">
        <f t="shared" si="273"/>
        <v>182523587</v>
      </c>
      <c r="BF119" s="328">
        <f t="shared" si="236"/>
        <v>0.95360589012161978</v>
      </c>
      <c r="BG119" s="312">
        <f t="shared" si="274"/>
        <v>54181531</v>
      </c>
      <c r="BH119" s="328">
        <f t="shared" si="237"/>
        <v>0.28307479568329508</v>
      </c>
      <c r="BI119" s="85"/>
      <c r="BJ119" s="254" t="s">
        <v>79</v>
      </c>
      <c r="BK119" s="254" t="s">
        <v>83</v>
      </c>
      <c r="BL119" s="231" t="s">
        <v>230</v>
      </c>
      <c r="BM119" s="10"/>
      <c r="BN119" s="10"/>
      <c r="BO119" s="10"/>
    </row>
    <row r="120" spans="1:67" ht="32.25" customHeight="1">
      <c r="A120" s="195" t="s">
        <v>747</v>
      </c>
      <c r="B120" s="53"/>
      <c r="C120" s="53"/>
      <c r="D120" s="53"/>
      <c r="E120" s="53"/>
      <c r="F120" s="53"/>
      <c r="G120" s="53"/>
      <c r="H120" s="53"/>
      <c r="I120" s="53"/>
      <c r="J120" s="53"/>
      <c r="K120" s="53"/>
      <c r="L120" s="53"/>
      <c r="M120" s="53"/>
      <c r="N120" s="53"/>
      <c r="O120" s="54">
        <f>+SUMPRODUCT(O121:O125,AG121:AG125)</f>
        <v>0.99970000000000003</v>
      </c>
      <c r="P120" s="54">
        <f>+SUMPRODUCT(P121:P125,AH121:AH125)</f>
        <v>0.93186800000000003</v>
      </c>
      <c r="Q120" s="54">
        <f>+SUMPRODUCT(Q121:Q125,AI121:AI125)</f>
        <v>0.998</v>
      </c>
      <c r="R120" s="54">
        <f>+SUMPRODUCT(R121:R125,AJ121:AJ125)</f>
        <v>0.94665999999999983</v>
      </c>
      <c r="S120" s="259"/>
      <c r="T120" s="259"/>
      <c r="U120" s="259"/>
      <c r="V120" s="259"/>
      <c r="W120" s="259"/>
      <c r="X120" s="55"/>
      <c r="Y120" s="56"/>
      <c r="Z120" s="56"/>
      <c r="AA120" s="56"/>
      <c r="AB120" s="55"/>
      <c r="AC120" s="19"/>
      <c r="AD120" s="57"/>
      <c r="AE120" s="54">
        <f>+SUMPRODUCT(AE121:AE125,AF121:AF125)</f>
        <v>0.96943846500000008</v>
      </c>
      <c r="AF120" s="54">
        <f t="shared" si="240"/>
        <v>0.31797499999999995</v>
      </c>
      <c r="AG120" s="54">
        <v>0.27200000000000002</v>
      </c>
      <c r="AH120" s="249">
        <v>0.33329999999999999</v>
      </c>
      <c r="AI120" s="54">
        <v>0.33329999999999999</v>
      </c>
      <c r="AJ120" s="54">
        <v>0.33329999999999999</v>
      </c>
      <c r="AK120" s="296">
        <f t="shared" ref="AK120:AO120" si="282">SUM(AK121:AK125)</f>
        <v>527122003</v>
      </c>
      <c r="AL120" s="296">
        <f t="shared" si="282"/>
        <v>301633884</v>
      </c>
      <c r="AM120" s="296">
        <f t="shared" si="282"/>
        <v>538474880</v>
      </c>
      <c r="AN120" s="296">
        <f t="shared" si="282"/>
        <v>654493895</v>
      </c>
      <c r="AO120" s="296">
        <f t="shared" si="282"/>
        <v>397560480</v>
      </c>
      <c r="AP120" s="60">
        <f t="shared" si="263"/>
        <v>0.75420960942129367</v>
      </c>
      <c r="AQ120" s="58">
        <f t="shared" ref="AQ120:AS120" si="283">SUM(AQ121:AQ125)</f>
        <v>0</v>
      </c>
      <c r="AR120" s="58">
        <f t="shared" si="283"/>
        <v>0</v>
      </c>
      <c r="AS120" s="58">
        <f t="shared" si="283"/>
        <v>0</v>
      </c>
      <c r="AT120" s="323">
        <f>+SUM(AT121:AT125)</f>
        <v>249369324</v>
      </c>
      <c r="AU120" s="331">
        <f t="shared" si="265"/>
        <v>0.47307705347295093</v>
      </c>
      <c r="AV120" s="310">
        <f t="shared" ref="AV120:BB120" si="284">SUM(AV121:AV125)</f>
        <v>0</v>
      </c>
      <c r="AW120" s="310">
        <f t="shared" si="284"/>
        <v>0</v>
      </c>
      <c r="AX120" s="310">
        <f t="shared" si="284"/>
        <v>0</v>
      </c>
      <c r="AY120" s="310">
        <f t="shared" si="284"/>
        <v>0</v>
      </c>
      <c r="AZ120" s="310">
        <f t="shared" si="284"/>
        <v>0</v>
      </c>
      <c r="BA120" s="310">
        <f t="shared" si="284"/>
        <v>0</v>
      </c>
      <c r="BB120" s="310">
        <f t="shared" si="284"/>
        <v>0</v>
      </c>
      <c r="BC120" s="325" t="e">
        <f t="shared" si="279"/>
        <v>#DIV/0!</v>
      </c>
      <c r="BD120" s="300">
        <f t="shared" ref="BD120:BE120" si="285">SUM(BD121:BD125)</f>
        <v>2186121273</v>
      </c>
      <c r="BE120" s="300">
        <f t="shared" si="285"/>
        <v>1892163139</v>
      </c>
      <c r="BF120" s="325">
        <f t="shared" si="236"/>
        <v>0.86553438840261443</v>
      </c>
      <c r="BG120" s="300">
        <f>SUM(BG121:BG125)</f>
        <v>249369324</v>
      </c>
      <c r="BH120" s="325">
        <f>+BG120/BD120</f>
        <v>0.11406930030820847</v>
      </c>
      <c r="BI120" s="56"/>
      <c r="BJ120" s="350" t="s">
        <v>79</v>
      </c>
      <c r="BK120" s="350" t="s">
        <v>83</v>
      </c>
      <c r="BL120" s="350" t="s">
        <v>230</v>
      </c>
      <c r="BM120" s="10"/>
      <c r="BN120" s="10"/>
      <c r="BO120" s="10"/>
    </row>
    <row r="121" spans="1:67" ht="20.100000000000001" customHeight="1">
      <c r="A121" s="231" t="s">
        <v>228</v>
      </c>
      <c r="B121" s="231"/>
      <c r="C121" s="241" t="s">
        <v>229</v>
      </c>
      <c r="D121" s="64">
        <v>0</v>
      </c>
      <c r="E121" s="65">
        <v>100</v>
      </c>
      <c r="F121" s="220">
        <v>100</v>
      </c>
      <c r="G121" s="66">
        <v>100</v>
      </c>
      <c r="H121" s="64">
        <v>0</v>
      </c>
      <c r="I121" s="65">
        <v>68</v>
      </c>
      <c r="J121" s="67">
        <v>99</v>
      </c>
      <c r="K121" s="233">
        <v>73.33</v>
      </c>
      <c r="L121" s="68"/>
      <c r="M121" s="69"/>
      <c r="N121" s="69"/>
      <c r="O121" s="70">
        <v>0</v>
      </c>
      <c r="P121" s="70">
        <f t="shared" ref="P121:Q121" si="286">IF((I121+M121)/E121&gt;=100%,100%,(I121+M121)/E121)</f>
        <v>0.68</v>
      </c>
      <c r="Q121" s="70">
        <f t="shared" si="286"/>
        <v>0.99</v>
      </c>
      <c r="R121" s="71">
        <f t="shared" ref="R121:R125" si="287">IF(K121/G121&gt;=100%,100%,K121/G121)</f>
        <v>0.73329999999999995</v>
      </c>
      <c r="S121" s="261"/>
      <c r="T121" s="261"/>
      <c r="U121" s="261"/>
      <c r="V121" s="231"/>
      <c r="W121" s="231"/>
      <c r="X121" s="72">
        <v>45230</v>
      </c>
      <c r="Y121" s="73"/>
      <c r="Z121" s="63"/>
      <c r="AA121" s="74"/>
      <c r="AB121" s="118"/>
      <c r="AC121" s="76">
        <f t="shared" ref="AC121:AC125" si="288">SUM(D121:G121)</f>
        <v>300</v>
      </c>
      <c r="AD121" s="76">
        <f t="shared" ref="AD121:AD125" si="289">SUM(H121:N121)</f>
        <v>240.32999999999998</v>
      </c>
      <c r="AE121" s="70">
        <f t="shared" ref="AE121:AE125" si="290">IF(AD121/AC121&gt;=100%,100%,AD121/AC121)</f>
        <v>0.80109999999999992</v>
      </c>
      <c r="AF121" s="54">
        <f t="shared" si="240"/>
        <v>0.15315000000000001</v>
      </c>
      <c r="AG121" s="77">
        <v>0</v>
      </c>
      <c r="AH121" s="289">
        <v>0.21260000000000001</v>
      </c>
      <c r="AI121" s="70">
        <v>0.2</v>
      </c>
      <c r="AJ121" s="70">
        <v>0.2</v>
      </c>
      <c r="AK121" s="301">
        <v>260617240</v>
      </c>
      <c r="AL121" s="301">
        <v>0</v>
      </c>
      <c r="AM121" s="301">
        <f>86727517+2139760</f>
        <v>88867277</v>
      </c>
      <c r="AN121" s="301">
        <v>220884075</v>
      </c>
      <c r="AO121" s="301">
        <v>191115347</v>
      </c>
      <c r="AP121" s="79">
        <f t="shared" si="263"/>
        <v>0.73331812968320897</v>
      </c>
      <c r="AQ121" s="80"/>
      <c r="AR121" s="81"/>
      <c r="AS121" s="81"/>
      <c r="AT121" s="343">
        <v>190172592</v>
      </c>
      <c r="AU121" s="329">
        <f t="shared" si="265"/>
        <v>0.72970073660514556</v>
      </c>
      <c r="AV121" s="313"/>
      <c r="AW121" s="313"/>
      <c r="AX121" s="313"/>
      <c r="AY121" s="313"/>
      <c r="AZ121" s="313"/>
      <c r="BA121" s="313"/>
      <c r="BB121" s="313"/>
      <c r="BC121" s="328" t="e">
        <f t="shared" si="279"/>
        <v>#DIV/0!</v>
      </c>
      <c r="BD121" s="317">
        <f>353691594+AK121</f>
        <v>614308834</v>
      </c>
      <c r="BE121" s="312">
        <f>+AL121+AM121+AN121+AO121</f>
        <v>500866699</v>
      </c>
      <c r="BF121" s="328">
        <f t="shared" si="236"/>
        <v>0.8153337072147655</v>
      </c>
      <c r="BG121" s="312">
        <f>SUM(AQ121:AT121)+AX121+AZ121+BB121</f>
        <v>190172592</v>
      </c>
      <c r="BH121" s="328">
        <f t="shared" si="237"/>
        <v>0.30957163803377763</v>
      </c>
      <c r="BI121" s="85"/>
      <c r="BJ121" s="254" t="s">
        <v>81</v>
      </c>
      <c r="BK121" s="254" t="s">
        <v>83</v>
      </c>
      <c r="BL121" s="231" t="s">
        <v>230</v>
      </c>
      <c r="BM121" s="10"/>
      <c r="BN121" s="10"/>
      <c r="BO121" s="10"/>
    </row>
    <row r="122" spans="1:67" ht="30" customHeight="1">
      <c r="A122" s="231" t="s">
        <v>748</v>
      </c>
      <c r="B122" s="241" t="s">
        <v>749</v>
      </c>
      <c r="C122" s="241" t="s">
        <v>229</v>
      </c>
      <c r="D122" s="64">
        <v>50</v>
      </c>
      <c r="E122" s="65">
        <v>60</v>
      </c>
      <c r="F122" s="220">
        <v>80</v>
      </c>
      <c r="G122" s="221">
        <v>100</v>
      </c>
      <c r="H122" s="64">
        <v>50</v>
      </c>
      <c r="I122" s="65">
        <v>60</v>
      </c>
      <c r="J122" s="67">
        <v>80</v>
      </c>
      <c r="K122" s="234">
        <v>100</v>
      </c>
      <c r="L122" s="68"/>
      <c r="M122" s="69"/>
      <c r="N122" s="69"/>
      <c r="O122" s="70">
        <v>1</v>
      </c>
      <c r="P122" s="70">
        <f t="shared" ref="P122:Q122" si="291">IF((I122+M122)/E122&gt;=100%,100%,(I122+M122)/E122)</f>
        <v>1</v>
      </c>
      <c r="Q122" s="70">
        <f t="shared" si="291"/>
        <v>1</v>
      </c>
      <c r="R122" s="71">
        <f t="shared" si="287"/>
        <v>1</v>
      </c>
      <c r="S122" s="258" t="s">
        <v>750</v>
      </c>
      <c r="T122" s="253" t="s">
        <v>751</v>
      </c>
      <c r="U122" s="270" t="s">
        <v>752</v>
      </c>
      <c r="V122" s="231" t="s">
        <v>753</v>
      </c>
      <c r="W122" s="256" t="s">
        <v>754</v>
      </c>
      <c r="X122" s="72">
        <v>45230</v>
      </c>
      <c r="Y122" s="73"/>
      <c r="Z122" s="63"/>
      <c r="AA122" s="74"/>
      <c r="AB122" s="118"/>
      <c r="AC122" s="76">
        <f t="shared" si="288"/>
        <v>290</v>
      </c>
      <c r="AD122" s="76">
        <f t="shared" si="289"/>
        <v>290</v>
      </c>
      <c r="AE122" s="70">
        <f t="shared" si="290"/>
        <v>1</v>
      </c>
      <c r="AF122" s="54">
        <f t="shared" si="240"/>
        <v>0.20082499999999998</v>
      </c>
      <c r="AG122" s="77">
        <v>0.35</v>
      </c>
      <c r="AH122" s="285">
        <v>5.33E-2</v>
      </c>
      <c r="AI122" s="70">
        <v>0.2</v>
      </c>
      <c r="AJ122" s="70">
        <v>0.2</v>
      </c>
      <c r="AK122" s="301">
        <v>56400000</v>
      </c>
      <c r="AL122" s="301">
        <v>108478036</v>
      </c>
      <c r="AM122" s="301">
        <v>29521628</v>
      </c>
      <c r="AN122" s="301">
        <v>70776754</v>
      </c>
      <c r="AO122" s="301">
        <v>30000000</v>
      </c>
      <c r="AP122" s="79">
        <f t="shared" si="263"/>
        <v>0.53191489361702127</v>
      </c>
      <c r="AQ122" s="80"/>
      <c r="AR122" s="81"/>
      <c r="AS122" s="81"/>
      <c r="AT122" s="343">
        <v>21779999</v>
      </c>
      <c r="AU122" s="329">
        <f t="shared" si="265"/>
        <v>0.38617019503546102</v>
      </c>
      <c r="AV122" s="313"/>
      <c r="AW122" s="313"/>
      <c r="AX122" s="313"/>
      <c r="AY122" s="313"/>
      <c r="AZ122" s="313"/>
      <c r="BA122" s="313"/>
      <c r="BB122" s="313"/>
      <c r="BC122" s="328"/>
      <c r="BD122" s="317">
        <f>218937954+AK122</f>
        <v>275337954</v>
      </c>
      <c r="BE122" s="312">
        <f>+AL122+AM122+AN122+AO122</f>
        <v>238776418</v>
      </c>
      <c r="BF122" s="328">
        <f t="shared" si="236"/>
        <v>0.86721214613224007</v>
      </c>
      <c r="BG122" s="312">
        <f>SUM(AQ122:AT122)+AX122+AZ122+BB122</f>
        <v>21779999</v>
      </c>
      <c r="BH122" s="328">
        <f t="shared" si="237"/>
        <v>7.9102785081347701E-2</v>
      </c>
      <c r="BI122" s="85"/>
      <c r="BJ122" s="254" t="s">
        <v>79</v>
      </c>
      <c r="BK122" s="254" t="s">
        <v>83</v>
      </c>
      <c r="BL122" s="231" t="s">
        <v>230</v>
      </c>
      <c r="BM122" s="10"/>
      <c r="BN122" s="10"/>
      <c r="BO122" s="10"/>
    </row>
    <row r="123" spans="1:67" ht="32.25" customHeight="1">
      <c r="A123" s="231" t="s">
        <v>755</v>
      </c>
      <c r="B123" s="241" t="s">
        <v>756</v>
      </c>
      <c r="C123" s="241" t="s">
        <v>241</v>
      </c>
      <c r="D123" s="64">
        <v>1</v>
      </c>
      <c r="E123" s="65">
        <v>1</v>
      </c>
      <c r="F123" s="220">
        <v>1</v>
      </c>
      <c r="G123" s="222">
        <v>1</v>
      </c>
      <c r="H123" s="64">
        <v>1</v>
      </c>
      <c r="I123" s="65">
        <v>1</v>
      </c>
      <c r="J123" s="67">
        <v>1</v>
      </c>
      <c r="K123" s="234">
        <v>1</v>
      </c>
      <c r="L123" s="68"/>
      <c r="M123" s="69"/>
      <c r="N123" s="69"/>
      <c r="O123" s="70">
        <v>1</v>
      </c>
      <c r="P123" s="70">
        <f t="shared" ref="P123:Q123" si="292">IF((I123+M123)/E123&gt;=100%,100%,(I123+M123)/E123)</f>
        <v>1</v>
      </c>
      <c r="Q123" s="70">
        <f t="shared" si="292"/>
        <v>1</v>
      </c>
      <c r="R123" s="70">
        <f t="shared" si="287"/>
        <v>1</v>
      </c>
      <c r="S123" s="258" t="s">
        <v>757</v>
      </c>
      <c r="T123" s="253" t="s">
        <v>758</v>
      </c>
      <c r="U123" s="270" t="s">
        <v>759</v>
      </c>
      <c r="V123" s="231" t="s">
        <v>760</v>
      </c>
      <c r="W123" s="256" t="s">
        <v>761</v>
      </c>
      <c r="X123" s="72">
        <v>45230</v>
      </c>
      <c r="Y123" s="73"/>
      <c r="Z123" s="73"/>
      <c r="AA123" s="85"/>
      <c r="AB123" s="124"/>
      <c r="AC123" s="89">
        <f t="shared" si="288"/>
        <v>4</v>
      </c>
      <c r="AD123" s="89">
        <f t="shared" si="289"/>
        <v>4</v>
      </c>
      <c r="AE123" s="84">
        <f t="shared" si="290"/>
        <v>1</v>
      </c>
      <c r="AF123" s="54">
        <f t="shared" si="240"/>
        <v>0.16847499999999999</v>
      </c>
      <c r="AG123" s="94">
        <v>8.9599999999999999E-2</v>
      </c>
      <c r="AH123" s="284">
        <v>0.18429999999999999</v>
      </c>
      <c r="AI123" s="84">
        <v>0.2</v>
      </c>
      <c r="AJ123" s="84">
        <v>0.2</v>
      </c>
      <c r="AK123" s="301">
        <v>91168648</v>
      </c>
      <c r="AL123" s="301">
        <v>29990000</v>
      </c>
      <c r="AM123" s="301">
        <v>105370399</v>
      </c>
      <c r="AN123" s="301">
        <v>91618148</v>
      </c>
      <c r="AO123" s="301">
        <v>91168648</v>
      </c>
      <c r="AP123" s="79">
        <f t="shared" si="263"/>
        <v>1</v>
      </c>
      <c r="AQ123" s="80"/>
      <c r="AR123" s="93"/>
      <c r="AS123" s="93"/>
      <c r="AT123" s="343">
        <v>4338000</v>
      </c>
      <c r="AU123" s="329">
        <f t="shared" si="265"/>
        <v>4.7582146880142395E-2</v>
      </c>
      <c r="AV123" s="313"/>
      <c r="AW123" s="313"/>
      <c r="AX123" s="313"/>
      <c r="AY123" s="313"/>
      <c r="AZ123" s="313"/>
      <c r="BA123" s="313"/>
      <c r="BB123" s="313"/>
      <c r="BC123" s="334"/>
      <c r="BD123" s="317">
        <f>227136201+AK123</f>
        <v>318304849</v>
      </c>
      <c r="BE123" s="312">
        <f>+AL123+AM123+AN123+AO123</f>
        <v>318147195</v>
      </c>
      <c r="BF123" s="328">
        <f t="shared" si="236"/>
        <v>0.99950470751389653</v>
      </c>
      <c r="BG123" s="312">
        <f>SUM(AQ123:AT123)+AX123+AZ123+BB123</f>
        <v>4338000</v>
      </c>
      <c r="BH123" s="328">
        <f t="shared" si="237"/>
        <v>1.3628444598404468E-2</v>
      </c>
      <c r="BI123" s="85"/>
      <c r="BJ123" s="254" t="s">
        <v>79</v>
      </c>
      <c r="BK123" s="254" t="s">
        <v>83</v>
      </c>
      <c r="BL123" s="231" t="s">
        <v>230</v>
      </c>
      <c r="BM123" s="14"/>
      <c r="BN123" s="14"/>
      <c r="BO123" s="14"/>
    </row>
    <row r="124" spans="1:67" ht="32.25" customHeight="1">
      <c r="A124" s="231" t="s">
        <v>762</v>
      </c>
      <c r="B124" s="241" t="s">
        <v>763</v>
      </c>
      <c r="C124" s="241" t="s">
        <v>241</v>
      </c>
      <c r="D124" s="64">
        <v>5</v>
      </c>
      <c r="E124" s="65">
        <v>10</v>
      </c>
      <c r="F124" s="220">
        <v>10</v>
      </c>
      <c r="G124" s="221">
        <v>10</v>
      </c>
      <c r="H124" s="64">
        <v>5</v>
      </c>
      <c r="I124" s="65">
        <v>10</v>
      </c>
      <c r="J124" s="67">
        <v>10</v>
      </c>
      <c r="K124" s="234">
        <v>10</v>
      </c>
      <c r="L124" s="68"/>
      <c r="M124" s="69"/>
      <c r="N124" s="69"/>
      <c r="O124" s="70">
        <v>1</v>
      </c>
      <c r="P124" s="70">
        <f t="shared" ref="P124:Q124" si="293">IF((I124+M124)/E124&gt;=100%,100%,(I124+M124)/E124)</f>
        <v>1</v>
      </c>
      <c r="Q124" s="70">
        <f t="shared" si="293"/>
        <v>1</v>
      </c>
      <c r="R124" s="71">
        <f t="shared" si="287"/>
        <v>1</v>
      </c>
      <c r="S124" s="258" t="s">
        <v>764</v>
      </c>
      <c r="T124" s="253" t="s">
        <v>765</v>
      </c>
      <c r="U124" s="270" t="s">
        <v>766</v>
      </c>
      <c r="V124" s="231" t="s">
        <v>767</v>
      </c>
      <c r="W124" s="256" t="s">
        <v>768</v>
      </c>
      <c r="X124" s="72">
        <v>45230</v>
      </c>
      <c r="Y124" s="73"/>
      <c r="Z124" s="63"/>
      <c r="AA124" s="74"/>
      <c r="AB124" s="118"/>
      <c r="AC124" s="76">
        <f t="shared" si="288"/>
        <v>35</v>
      </c>
      <c r="AD124" s="76">
        <f t="shared" si="289"/>
        <v>35</v>
      </c>
      <c r="AE124" s="70">
        <f t="shared" si="290"/>
        <v>1</v>
      </c>
      <c r="AF124" s="54">
        <f t="shared" si="240"/>
        <v>0.17964999999999998</v>
      </c>
      <c r="AG124" s="77">
        <v>0.26800000000000002</v>
      </c>
      <c r="AH124" s="285">
        <v>5.0599999999999999E-2</v>
      </c>
      <c r="AI124" s="70">
        <v>0.2</v>
      </c>
      <c r="AJ124" s="70">
        <v>0.2</v>
      </c>
      <c r="AK124" s="301">
        <v>85276485</v>
      </c>
      <c r="AL124" s="301">
        <v>72288820</v>
      </c>
      <c r="AM124" s="301">
        <f>22590000+6385827</f>
        <v>28975827</v>
      </c>
      <c r="AN124" s="301">
        <v>192898625</v>
      </c>
      <c r="AO124" s="301">
        <v>85276485</v>
      </c>
      <c r="AP124" s="79">
        <f t="shared" si="263"/>
        <v>1</v>
      </c>
      <c r="AQ124" s="80"/>
      <c r="AR124" s="81"/>
      <c r="AS124" s="81"/>
      <c r="AT124" s="343">
        <v>33078733</v>
      </c>
      <c r="AU124" s="329">
        <f t="shared" si="265"/>
        <v>0.38789981786890021</v>
      </c>
      <c r="AV124" s="313"/>
      <c r="AW124" s="313"/>
      <c r="AX124" s="313"/>
      <c r="AY124" s="313"/>
      <c r="AZ124" s="313"/>
      <c r="BA124" s="313"/>
      <c r="BB124" s="313"/>
      <c r="BC124" s="328" t="e">
        <f t="shared" ref="BC124:BC127" si="294">+BB124/BA124</f>
        <v>#DIV/0!</v>
      </c>
      <c r="BD124" s="317">
        <f>349320419+AK124</f>
        <v>434596904</v>
      </c>
      <c r="BE124" s="312">
        <f>+AL124+AM124+AN124+AO124</f>
        <v>379439757</v>
      </c>
      <c r="BF124" s="328">
        <f t="shared" si="236"/>
        <v>0.87308435358757186</v>
      </c>
      <c r="BG124" s="312">
        <f>SUM(AQ124:AT124)+AX124+AZ124+BB124</f>
        <v>33078733</v>
      </c>
      <c r="BH124" s="328">
        <f t="shared" si="237"/>
        <v>7.6113595599843487E-2</v>
      </c>
      <c r="BI124" s="85"/>
      <c r="BJ124" s="254" t="s">
        <v>79</v>
      </c>
      <c r="BK124" s="254" t="s">
        <v>83</v>
      </c>
      <c r="BL124" s="231" t="s">
        <v>230</v>
      </c>
      <c r="BM124" s="10"/>
      <c r="BN124" s="10"/>
      <c r="BO124" s="10"/>
    </row>
    <row r="125" spans="1:67" ht="20.100000000000001" customHeight="1">
      <c r="A125" s="231" t="s">
        <v>769</v>
      </c>
      <c r="B125" s="241" t="s">
        <v>770</v>
      </c>
      <c r="C125" s="241" t="s">
        <v>241</v>
      </c>
      <c r="D125" s="64">
        <v>5</v>
      </c>
      <c r="E125" s="65">
        <v>10</v>
      </c>
      <c r="F125" s="220">
        <v>10</v>
      </c>
      <c r="G125" s="221">
        <v>10</v>
      </c>
      <c r="H125" s="64">
        <v>5</v>
      </c>
      <c r="I125" s="65">
        <v>10</v>
      </c>
      <c r="J125" s="67">
        <v>10</v>
      </c>
      <c r="K125" s="234">
        <v>10</v>
      </c>
      <c r="L125" s="68"/>
      <c r="M125" s="84"/>
      <c r="N125" s="84"/>
      <c r="O125" s="70">
        <v>1</v>
      </c>
      <c r="P125" s="70">
        <f t="shared" ref="P125:Q125" si="295">IF((I125+M125)/E125&gt;=100%,100%,(I125+M125)/E125)</f>
        <v>1</v>
      </c>
      <c r="Q125" s="70">
        <f t="shared" si="295"/>
        <v>1</v>
      </c>
      <c r="R125" s="71">
        <f t="shared" si="287"/>
        <v>1</v>
      </c>
      <c r="S125" s="258" t="s">
        <v>771</v>
      </c>
      <c r="T125" s="253" t="s">
        <v>772</v>
      </c>
      <c r="U125" s="270" t="s">
        <v>773</v>
      </c>
      <c r="V125" s="231" t="s">
        <v>774</v>
      </c>
      <c r="W125" s="256" t="s">
        <v>775</v>
      </c>
      <c r="X125" s="72">
        <v>45230</v>
      </c>
      <c r="Y125" s="73"/>
      <c r="Z125" s="63"/>
      <c r="AA125" s="132"/>
      <c r="AB125" s="118"/>
      <c r="AC125" s="76">
        <f t="shared" si="288"/>
        <v>35</v>
      </c>
      <c r="AD125" s="76">
        <f t="shared" si="289"/>
        <v>35</v>
      </c>
      <c r="AE125" s="70">
        <f t="shared" si="290"/>
        <v>1</v>
      </c>
      <c r="AF125" s="54">
        <f t="shared" si="240"/>
        <v>0.29780000000000001</v>
      </c>
      <c r="AG125" s="77">
        <v>0.29210000000000003</v>
      </c>
      <c r="AH125" s="285">
        <v>0.49909999999999999</v>
      </c>
      <c r="AI125" s="70">
        <v>0.2</v>
      </c>
      <c r="AJ125" s="70">
        <v>0.2</v>
      </c>
      <c r="AK125" s="301">
        <v>33659630</v>
      </c>
      <c r="AL125" s="301">
        <v>90877028</v>
      </c>
      <c r="AM125" s="301">
        <v>285739749</v>
      </c>
      <c r="AN125" s="301">
        <v>78316293</v>
      </c>
      <c r="AO125" s="301">
        <v>0</v>
      </c>
      <c r="AP125" s="79">
        <f t="shared" si="263"/>
        <v>0</v>
      </c>
      <c r="AQ125" s="80"/>
      <c r="AR125" s="81"/>
      <c r="AS125" s="81"/>
      <c r="AT125" s="344">
        <v>0</v>
      </c>
      <c r="AU125" s="329">
        <f t="shared" si="265"/>
        <v>0</v>
      </c>
      <c r="AV125" s="313"/>
      <c r="AW125" s="313"/>
      <c r="AX125" s="313"/>
      <c r="AY125" s="313"/>
      <c r="AZ125" s="313"/>
      <c r="BA125" s="313"/>
      <c r="BB125" s="313"/>
      <c r="BC125" s="328" t="e">
        <f t="shared" si="294"/>
        <v>#DIV/0!</v>
      </c>
      <c r="BD125" s="317">
        <f>509913102+AK125</f>
        <v>543572732</v>
      </c>
      <c r="BE125" s="312">
        <f>+AL125+AM125+AN125+AO125</f>
        <v>454933070</v>
      </c>
      <c r="BF125" s="328">
        <f t="shared" si="236"/>
        <v>0.83693136763159048</v>
      </c>
      <c r="BG125" s="312">
        <f>SUM(AQ125:AT125)+AX125+AZ125+BB125</f>
        <v>0</v>
      </c>
      <c r="BH125" s="328">
        <f t="shared" si="237"/>
        <v>0</v>
      </c>
      <c r="BI125" s="85"/>
      <c r="BJ125" s="254" t="s">
        <v>79</v>
      </c>
      <c r="BK125" s="254" t="s">
        <v>83</v>
      </c>
      <c r="BL125" s="231" t="s">
        <v>230</v>
      </c>
      <c r="BM125" s="10"/>
      <c r="BN125" s="10"/>
      <c r="BO125" s="10"/>
    </row>
    <row r="126" spans="1:67" ht="20.100000000000001" customHeight="1">
      <c r="A126" s="31" t="s">
        <v>776</v>
      </c>
      <c r="B126" s="32"/>
      <c r="C126" s="133"/>
      <c r="D126" s="133"/>
      <c r="E126" s="134"/>
      <c r="F126" s="134"/>
      <c r="G126" s="34"/>
      <c r="H126" s="134"/>
      <c r="I126" s="134"/>
      <c r="J126" s="34"/>
      <c r="K126" s="134"/>
      <c r="L126" s="134"/>
      <c r="M126" s="34"/>
      <c r="N126" s="34"/>
      <c r="O126" s="36"/>
      <c r="P126" s="36"/>
      <c r="Q126" s="36"/>
      <c r="R126" s="35">
        <f>+R127</f>
        <v>0.95635816670399976</v>
      </c>
      <c r="S126" s="262"/>
      <c r="T126" s="262"/>
      <c r="U126" s="262"/>
      <c r="V126" s="262"/>
      <c r="W126" s="262"/>
      <c r="X126" s="32"/>
      <c r="Y126" s="36"/>
      <c r="Z126" s="36"/>
      <c r="AA126" s="36"/>
      <c r="AB126" s="32"/>
      <c r="AC126" s="135"/>
      <c r="AD126" s="136"/>
      <c r="AE126" s="35"/>
      <c r="AF126" s="35"/>
      <c r="AG126" s="35"/>
      <c r="AH126" s="286"/>
      <c r="AI126" s="35"/>
      <c r="AJ126" s="35"/>
      <c r="AK126" s="302"/>
      <c r="AL126" s="302"/>
      <c r="AM126" s="302"/>
      <c r="AN126" s="302"/>
      <c r="AO126" s="302"/>
      <c r="AP126" s="40"/>
      <c r="AQ126" s="39">
        <f t="shared" ref="AQ126:AS126" si="296">+AQ127+AQ148</f>
        <v>0</v>
      </c>
      <c r="AR126" s="39">
        <f t="shared" si="296"/>
        <v>0</v>
      </c>
      <c r="AS126" s="39">
        <f t="shared" si="296"/>
        <v>0</v>
      </c>
      <c r="AT126" s="335"/>
      <c r="AU126" s="339"/>
      <c r="AV126" s="316">
        <f t="shared" ref="AV126:BB126" si="297">+AV127+AV148</f>
        <v>0</v>
      </c>
      <c r="AW126" s="316">
        <f t="shared" si="297"/>
        <v>0</v>
      </c>
      <c r="AX126" s="316">
        <f t="shared" si="297"/>
        <v>0</v>
      </c>
      <c r="AY126" s="316">
        <f t="shared" si="297"/>
        <v>0</v>
      </c>
      <c r="AZ126" s="316">
        <f t="shared" si="297"/>
        <v>0</v>
      </c>
      <c r="BA126" s="316">
        <f t="shared" si="297"/>
        <v>0</v>
      </c>
      <c r="BB126" s="316">
        <f t="shared" si="297"/>
        <v>0</v>
      </c>
      <c r="BC126" s="338" t="e">
        <f t="shared" si="294"/>
        <v>#DIV/0!</v>
      </c>
      <c r="BD126" s="298"/>
      <c r="BE126" s="298"/>
      <c r="BF126" s="338"/>
      <c r="BG126" s="298"/>
      <c r="BH126" s="338"/>
      <c r="BI126" s="33"/>
      <c r="BJ126" s="348"/>
      <c r="BK126" s="348"/>
      <c r="BL126" s="348"/>
      <c r="BM126" s="10"/>
      <c r="BN126" s="10"/>
      <c r="BO126" s="10"/>
    </row>
    <row r="127" spans="1:67" ht="33" customHeight="1">
      <c r="A127" s="114" t="s">
        <v>777</v>
      </c>
      <c r="B127" s="43"/>
      <c r="C127" s="44"/>
      <c r="D127" s="49"/>
      <c r="E127" s="46"/>
      <c r="F127" s="46"/>
      <c r="G127" s="46"/>
      <c r="H127" s="46"/>
      <c r="I127" s="46"/>
      <c r="J127" s="46"/>
      <c r="K127" s="46"/>
      <c r="L127" s="46"/>
      <c r="M127" s="46"/>
      <c r="N127" s="46"/>
      <c r="O127" s="47">
        <f>+(O129*AG129)+(O136*AG136)+(O140*AG140)</f>
        <v>0.99146920000000005</v>
      </c>
      <c r="P127" s="47">
        <f>+(P129*AH129)+(P136*AH136)+(P140*AH140)</f>
        <v>0.9455642098</v>
      </c>
      <c r="Q127" s="47">
        <f>+(Q129*AI129)+(Q136*AI136)+(Q140*AI140)</f>
        <v>0.98628254401132076</v>
      </c>
      <c r="R127" s="47">
        <f>+(R129*AJ129)+(R136*AJ136)+(R140*AJ140)</f>
        <v>0.95635816670399976</v>
      </c>
      <c r="S127" s="263"/>
      <c r="T127" s="263"/>
      <c r="U127" s="263"/>
      <c r="V127" s="263"/>
      <c r="W127" s="263"/>
      <c r="X127" s="106"/>
      <c r="Y127" s="49"/>
      <c r="Z127" s="49"/>
      <c r="AA127" s="49"/>
      <c r="AB127" s="106"/>
      <c r="AC127" s="126"/>
      <c r="AD127" s="108"/>
      <c r="AE127" s="47">
        <f>+AE128</f>
        <v>0.99630707787630635</v>
      </c>
      <c r="AF127" s="47"/>
      <c r="AG127" s="47"/>
      <c r="AH127" s="248"/>
      <c r="AI127" s="47"/>
      <c r="AJ127" s="47"/>
      <c r="AK127" s="303">
        <f t="shared" ref="AK127:AO127" si="298">+AK129+AK136+AK140</f>
        <v>2741401817</v>
      </c>
      <c r="AL127" s="303">
        <f t="shared" si="298"/>
        <v>1242558316</v>
      </c>
      <c r="AM127" s="303">
        <f t="shared" si="298"/>
        <v>1932028078</v>
      </c>
      <c r="AN127" s="303">
        <f t="shared" si="298"/>
        <v>2063022857</v>
      </c>
      <c r="AO127" s="303">
        <f t="shared" si="298"/>
        <v>2199434238</v>
      </c>
      <c r="AP127" s="50">
        <f t="shared" ref="AP127:AP131" si="299">+AO127/AK127</f>
        <v>0.80230275779378757</v>
      </c>
      <c r="AQ127" s="51">
        <f t="shared" ref="AQ127:AS127" si="300">+AQ129</f>
        <v>0</v>
      </c>
      <c r="AR127" s="51">
        <f t="shared" si="300"/>
        <v>0</v>
      </c>
      <c r="AS127" s="51">
        <f t="shared" si="300"/>
        <v>0</v>
      </c>
      <c r="AT127" s="319">
        <f>+AT128</f>
        <v>976600187</v>
      </c>
      <c r="AU127" s="341">
        <f>+AT127/AK127</f>
        <v>0.35624116864003669</v>
      </c>
      <c r="AV127" s="308">
        <f t="shared" ref="AV127:BB127" si="301">+AV129</f>
        <v>0</v>
      </c>
      <c r="AW127" s="308">
        <f t="shared" si="301"/>
        <v>0</v>
      </c>
      <c r="AX127" s="308">
        <f t="shared" si="301"/>
        <v>0</v>
      </c>
      <c r="AY127" s="308">
        <f t="shared" si="301"/>
        <v>0</v>
      </c>
      <c r="AZ127" s="308">
        <f t="shared" si="301"/>
        <v>0</v>
      </c>
      <c r="BA127" s="308">
        <f t="shared" si="301"/>
        <v>0</v>
      </c>
      <c r="BB127" s="308">
        <f t="shared" si="301"/>
        <v>0</v>
      </c>
      <c r="BC127" s="322" t="e">
        <f t="shared" si="294"/>
        <v>#DIV/0!</v>
      </c>
      <c r="BD127" s="299">
        <f t="shared" ref="BD127:BE127" si="302">+BD129+BD136+BD140</f>
        <v>8977579777</v>
      </c>
      <c r="BE127" s="299">
        <f t="shared" si="302"/>
        <v>7437043489</v>
      </c>
      <c r="BF127" s="322">
        <f t="shared" ref="BF127:BF143" si="303">+BE127/BD127</f>
        <v>0.8284018269660206</v>
      </c>
      <c r="BG127" s="299">
        <f>BG129+BG136+BG140</f>
        <v>976600187</v>
      </c>
      <c r="BH127" s="322">
        <f t="shared" ref="BH127:BH146" si="304">+BG127/BD127</f>
        <v>0.10878212293941278</v>
      </c>
      <c r="BI127" s="49"/>
      <c r="BJ127" s="254" t="s">
        <v>73</v>
      </c>
      <c r="BK127" s="254" t="s">
        <v>78</v>
      </c>
      <c r="BL127" s="279" t="s">
        <v>230</v>
      </c>
      <c r="BM127" s="10"/>
      <c r="BN127" s="10"/>
      <c r="BO127" s="10"/>
    </row>
    <row r="128" spans="1:67" ht="25.5" customHeight="1">
      <c r="A128" s="116" t="s">
        <v>778</v>
      </c>
      <c r="B128" s="43"/>
      <c r="C128" s="44"/>
      <c r="D128" s="49"/>
      <c r="E128" s="46"/>
      <c r="F128" s="46"/>
      <c r="G128" s="46"/>
      <c r="H128" s="46"/>
      <c r="I128" s="46"/>
      <c r="J128" s="46"/>
      <c r="K128" s="46"/>
      <c r="L128" s="46"/>
      <c r="M128" s="46"/>
      <c r="N128" s="46"/>
      <c r="O128" s="47">
        <f>+(O129*AG129)+(O136*AG136)+(O140*AG140)</f>
        <v>0.99146920000000005</v>
      </c>
      <c r="P128" s="47">
        <f>+(P129*AH129)+(P136*AH136)+(P140*AH140)</f>
        <v>0.9455642098</v>
      </c>
      <c r="Q128" s="47">
        <f>+(Q129*AI129)+(Q136*AI136)+(Q140*AI140)</f>
        <v>0.98628254401132076</v>
      </c>
      <c r="R128" s="47">
        <f>+(R129*AJ129)+(R136*AJ136)+(R140*AJ140)</f>
        <v>0.95635816670399976</v>
      </c>
      <c r="S128" s="263"/>
      <c r="T128" s="263"/>
      <c r="U128" s="263"/>
      <c r="V128" s="263"/>
      <c r="W128" s="263"/>
      <c r="X128" s="106"/>
      <c r="Y128" s="49"/>
      <c r="Z128" s="49"/>
      <c r="AA128" s="49"/>
      <c r="AB128" s="106"/>
      <c r="AC128" s="126"/>
      <c r="AD128" s="108"/>
      <c r="AE128" s="47">
        <f>+(AE129*AF129)+(AE136*AF136)+(AE140*AF140)</f>
        <v>0.99630707787630635</v>
      </c>
      <c r="AF128" s="47"/>
      <c r="AG128" s="47"/>
      <c r="AH128" s="248"/>
      <c r="AI128" s="47"/>
      <c r="AJ128" s="47"/>
      <c r="AK128" s="303">
        <f t="shared" ref="AK128:AO128" si="305">+AK129+AK136+AK140</f>
        <v>2741401817</v>
      </c>
      <c r="AL128" s="303">
        <f t="shared" si="305"/>
        <v>1242558316</v>
      </c>
      <c r="AM128" s="303">
        <f t="shared" si="305"/>
        <v>1932028078</v>
      </c>
      <c r="AN128" s="303">
        <f t="shared" si="305"/>
        <v>2063022857</v>
      </c>
      <c r="AO128" s="303">
        <f t="shared" si="305"/>
        <v>2199434238</v>
      </c>
      <c r="AP128" s="50">
        <f t="shared" si="299"/>
        <v>0.80230275779378757</v>
      </c>
      <c r="AQ128" s="51"/>
      <c r="AR128" s="51"/>
      <c r="AS128" s="51"/>
      <c r="AT128" s="319">
        <f>+AT129+AT136+AT140</f>
        <v>976600187</v>
      </c>
      <c r="AU128" s="341">
        <f>+AT128/AK128</f>
        <v>0.35624116864003669</v>
      </c>
      <c r="AV128" s="308"/>
      <c r="AW128" s="308"/>
      <c r="AX128" s="308"/>
      <c r="AY128" s="308"/>
      <c r="AZ128" s="308"/>
      <c r="BA128" s="308"/>
      <c r="BB128" s="308"/>
      <c r="BC128" s="322"/>
      <c r="BD128" s="299">
        <f t="shared" ref="BD128:BE128" si="306">+BD129+BD136+BD140</f>
        <v>8977579777</v>
      </c>
      <c r="BE128" s="299">
        <f t="shared" si="306"/>
        <v>7437043489</v>
      </c>
      <c r="BF128" s="322">
        <f t="shared" si="303"/>
        <v>0.8284018269660206</v>
      </c>
      <c r="BG128" s="299">
        <f>BG129+BG136+BG140</f>
        <v>976600187</v>
      </c>
      <c r="BH128" s="322">
        <f t="shared" si="304"/>
        <v>0.10878212293941278</v>
      </c>
      <c r="BI128" s="49"/>
      <c r="BJ128" s="254" t="s">
        <v>73</v>
      </c>
      <c r="BK128" s="254" t="s">
        <v>78</v>
      </c>
      <c r="BL128" s="279" t="s">
        <v>230</v>
      </c>
      <c r="BM128" s="137"/>
      <c r="BN128" s="137"/>
      <c r="BO128" s="137"/>
    </row>
    <row r="129" spans="1:67" ht="28.5" customHeight="1">
      <c r="A129" s="195" t="s">
        <v>779</v>
      </c>
      <c r="B129" s="53"/>
      <c r="C129" s="53"/>
      <c r="D129" s="53"/>
      <c r="E129" s="53"/>
      <c r="F129" s="53"/>
      <c r="G129" s="53"/>
      <c r="H129" s="53"/>
      <c r="I129" s="53"/>
      <c r="J129" s="53"/>
      <c r="K129" s="53"/>
      <c r="L129" s="53"/>
      <c r="M129" s="53"/>
      <c r="N129" s="53"/>
      <c r="O129" s="54">
        <f>+SUMPRODUCT(O130:O135,AG130:AG135)</f>
        <v>0.99859999999999993</v>
      </c>
      <c r="P129" s="54">
        <f>+SUMPRODUCT(P130:P135,AH130:AH135)</f>
        <v>0.90100000000000002</v>
      </c>
      <c r="Q129" s="54">
        <f>+SUMPRODUCT(Q130:Q135,AI130:AI135)</f>
        <v>0.98379837735849063</v>
      </c>
      <c r="R129" s="54">
        <f>+SUMPRODUCT(R130:R135,AJ130:AJ135)</f>
        <v>0.94589291999999991</v>
      </c>
      <c r="S129" s="259"/>
      <c r="T129" s="259"/>
      <c r="U129" s="259"/>
      <c r="V129" s="259"/>
      <c r="W129" s="259"/>
      <c r="X129" s="55"/>
      <c r="Y129" s="56"/>
      <c r="Z129" s="56"/>
      <c r="AA129" s="56"/>
      <c r="AB129" s="55"/>
      <c r="AC129" s="19"/>
      <c r="AD129" s="57"/>
      <c r="AE129" s="54">
        <f>+SUMPRODUCT(AE130:AE135,AF130:AF135)</f>
        <v>0.99720211585326957</v>
      </c>
      <c r="AF129" s="54">
        <f t="shared" ref="AF129:AF146" si="307">SUM(AG129:AJ129)/4</f>
        <v>0.33304999999999996</v>
      </c>
      <c r="AG129" s="54">
        <v>0.33200000000000002</v>
      </c>
      <c r="AH129" s="249">
        <v>0.33339999999999997</v>
      </c>
      <c r="AI129" s="54">
        <v>0.33339999999999997</v>
      </c>
      <c r="AJ129" s="54">
        <v>0.33339999999999997</v>
      </c>
      <c r="AK129" s="296">
        <f t="shared" ref="AK129:AO129" si="308">SUM(AK130:AK135)</f>
        <v>1006341070</v>
      </c>
      <c r="AL129" s="296">
        <f t="shared" si="308"/>
        <v>845949529</v>
      </c>
      <c r="AM129" s="296">
        <f t="shared" si="308"/>
        <v>734159413</v>
      </c>
      <c r="AN129" s="296">
        <f t="shared" si="308"/>
        <v>717493228</v>
      </c>
      <c r="AO129" s="296">
        <f t="shared" si="308"/>
        <v>883334220</v>
      </c>
      <c r="AP129" s="60">
        <f t="shared" si="299"/>
        <v>0.87776823020847194</v>
      </c>
      <c r="AQ129" s="58">
        <f t="shared" ref="AQ129:AS129" si="309">SUM(AQ130:AQ135)</f>
        <v>0</v>
      </c>
      <c r="AR129" s="58">
        <f t="shared" si="309"/>
        <v>0</v>
      </c>
      <c r="AS129" s="58">
        <f t="shared" si="309"/>
        <v>0</v>
      </c>
      <c r="AT129" s="323">
        <f>+SUM(AT130:AT135)</f>
        <v>366570927</v>
      </c>
      <c r="AU129" s="331">
        <f>+AT129/AK129</f>
        <v>0.3642611217288389</v>
      </c>
      <c r="AV129" s="310">
        <f t="shared" ref="AV129:BB129" si="310">SUM(AV130:AV135)</f>
        <v>0</v>
      </c>
      <c r="AW129" s="310">
        <f t="shared" si="310"/>
        <v>0</v>
      </c>
      <c r="AX129" s="310">
        <f t="shared" si="310"/>
        <v>0</v>
      </c>
      <c r="AY129" s="310">
        <f t="shared" si="310"/>
        <v>0</v>
      </c>
      <c r="AZ129" s="310">
        <f t="shared" si="310"/>
        <v>0</v>
      </c>
      <c r="BA129" s="310">
        <f t="shared" si="310"/>
        <v>0</v>
      </c>
      <c r="BB129" s="310">
        <f t="shared" si="310"/>
        <v>0</v>
      </c>
      <c r="BC129" s="325" t="e">
        <f t="shared" ref="BC129:BC130" si="311">+BB129/BA129</f>
        <v>#DIV/0!</v>
      </c>
      <c r="BD129" s="300">
        <f t="shared" ref="BD129:BE129" si="312">SUM(BD130:BD135)</f>
        <v>4112637495</v>
      </c>
      <c r="BE129" s="300">
        <f t="shared" si="312"/>
        <v>3180936390</v>
      </c>
      <c r="BF129" s="325">
        <f t="shared" si="303"/>
        <v>0.77345411402470321</v>
      </c>
      <c r="BG129" s="300">
        <f>SUM(BG130:BG135)</f>
        <v>366570927</v>
      </c>
      <c r="BH129" s="325">
        <f t="shared" si="304"/>
        <v>8.9132807704463149E-2</v>
      </c>
      <c r="BI129" s="56"/>
      <c r="BJ129" s="254" t="s">
        <v>73</v>
      </c>
      <c r="BK129" s="254" t="s">
        <v>78</v>
      </c>
      <c r="BL129" s="279" t="s">
        <v>230</v>
      </c>
      <c r="BM129" s="137"/>
      <c r="BN129" s="137"/>
      <c r="BO129" s="137"/>
    </row>
    <row r="130" spans="1:67" ht="33.75" customHeight="1">
      <c r="A130" s="231" t="s">
        <v>228</v>
      </c>
      <c r="B130" s="231"/>
      <c r="C130" s="241" t="s">
        <v>229</v>
      </c>
      <c r="D130" s="64">
        <v>0</v>
      </c>
      <c r="E130" s="65">
        <v>100</v>
      </c>
      <c r="F130" s="220">
        <v>100</v>
      </c>
      <c r="G130" s="66">
        <v>100</v>
      </c>
      <c r="H130" s="64">
        <v>0</v>
      </c>
      <c r="I130" s="65">
        <v>90</v>
      </c>
      <c r="J130" s="67">
        <v>93</v>
      </c>
      <c r="K130" s="233">
        <v>73.12</v>
      </c>
      <c r="L130" s="68"/>
      <c r="M130" s="69"/>
      <c r="N130" s="69"/>
      <c r="O130" s="70">
        <v>0</v>
      </c>
      <c r="P130" s="70">
        <f t="shared" ref="P130:Q130" si="313">IF((I130+M130)/E130&gt;=100%,100%,(I130+M130)/E130)</f>
        <v>0.9</v>
      </c>
      <c r="Q130" s="70">
        <f t="shared" si="313"/>
        <v>0.93</v>
      </c>
      <c r="R130" s="71">
        <f t="shared" ref="R130:R135" si="314">IF(K130/G130&gt;=100%,100%,K130/G130)</f>
        <v>0.73120000000000007</v>
      </c>
      <c r="S130" s="261"/>
      <c r="T130" s="261"/>
      <c r="U130" s="261"/>
      <c r="V130" s="231"/>
      <c r="W130" s="231"/>
      <c r="X130" s="72">
        <v>45230</v>
      </c>
      <c r="Y130" s="73"/>
      <c r="Z130" s="63"/>
      <c r="AA130" s="74"/>
      <c r="AB130" s="128"/>
      <c r="AC130" s="76">
        <f t="shared" ref="AC130:AC135" si="315">SUM(D130:G130)</f>
        <v>300</v>
      </c>
      <c r="AD130" s="76">
        <f t="shared" ref="AD130:AD135" si="316">SUM(H130:N130)</f>
        <v>256.12</v>
      </c>
      <c r="AE130" s="70">
        <f t="shared" ref="AE130:AE135" si="317">IF(AD130/AC130&gt;=100%,100%,AD130/AC130)</f>
        <v>0.85373333333333334</v>
      </c>
      <c r="AF130" s="54">
        <f t="shared" si="307"/>
        <v>0.18079999999999999</v>
      </c>
      <c r="AG130" s="77">
        <v>0</v>
      </c>
      <c r="AH130" s="289">
        <v>0.39</v>
      </c>
      <c r="AI130" s="70">
        <v>0.1666</v>
      </c>
      <c r="AJ130" s="70">
        <v>0.1666</v>
      </c>
      <c r="AK130" s="301">
        <v>264411000</v>
      </c>
      <c r="AL130" s="301">
        <v>0</v>
      </c>
      <c r="AM130" s="301">
        <f>184075058+7854294</f>
        <v>191929352</v>
      </c>
      <c r="AN130" s="301">
        <v>206050188</v>
      </c>
      <c r="AO130" s="301">
        <v>193327382</v>
      </c>
      <c r="AP130" s="79">
        <f t="shared" si="299"/>
        <v>0.73116240247190922</v>
      </c>
      <c r="AQ130" s="80"/>
      <c r="AR130" s="81"/>
      <c r="AS130" s="81"/>
      <c r="AT130" s="343">
        <v>190825847</v>
      </c>
      <c r="AU130" s="329">
        <f>+AT130/AK130</f>
        <v>0.72170161982670922</v>
      </c>
      <c r="AV130" s="311"/>
      <c r="AW130" s="311"/>
      <c r="AX130" s="311"/>
      <c r="AY130" s="311"/>
      <c r="AZ130" s="311"/>
      <c r="BA130" s="311"/>
      <c r="BB130" s="311"/>
      <c r="BC130" s="328" t="e">
        <f t="shared" si="311"/>
        <v>#DIV/0!</v>
      </c>
      <c r="BD130" s="317">
        <f>434890000+AK130</f>
        <v>699301000</v>
      </c>
      <c r="BE130" s="312">
        <f t="shared" ref="BE130:BE135" si="318">+AL130+AM130+AN130+AO130</f>
        <v>591306922</v>
      </c>
      <c r="BF130" s="328">
        <f t="shared" si="303"/>
        <v>0.84556853486552996</v>
      </c>
      <c r="BG130" s="312">
        <f t="shared" ref="BG130:BG135" si="319">SUM(AQ130:AT130)+AX130+AZ130+BB130</f>
        <v>190825847</v>
      </c>
      <c r="BH130" s="328">
        <f t="shared" si="304"/>
        <v>0.27288084387123712</v>
      </c>
      <c r="BI130" s="85"/>
      <c r="BJ130" s="254" t="s">
        <v>81</v>
      </c>
      <c r="BK130" s="254" t="s">
        <v>83</v>
      </c>
      <c r="BL130" s="279" t="s">
        <v>230</v>
      </c>
      <c r="BM130" s="137"/>
      <c r="BN130" s="137"/>
      <c r="BO130" s="137"/>
    </row>
    <row r="131" spans="1:67" ht="48.75" customHeight="1">
      <c r="A131" s="231" t="s">
        <v>780</v>
      </c>
      <c r="B131" s="241" t="s">
        <v>780</v>
      </c>
      <c r="C131" s="241" t="s">
        <v>229</v>
      </c>
      <c r="D131" s="64">
        <v>100</v>
      </c>
      <c r="E131" s="65">
        <v>100</v>
      </c>
      <c r="F131" s="220">
        <v>0</v>
      </c>
      <c r="G131" s="221">
        <v>100</v>
      </c>
      <c r="H131" s="64">
        <v>100</v>
      </c>
      <c r="I131" s="65">
        <v>100</v>
      </c>
      <c r="J131" s="67">
        <v>0</v>
      </c>
      <c r="K131" s="234">
        <v>100</v>
      </c>
      <c r="L131" s="68"/>
      <c r="M131" s="69"/>
      <c r="N131" s="69"/>
      <c r="O131" s="70">
        <v>1</v>
      </c>
      <c r="P131" s="70">
        <f t="shared" ref="P131:P135" si="320">IF((I131+M131)/E131&gt;=100%,100%,(I131+M131)/E131)</f>
        <v>1</v>
      </c>
      <c r="Q131" s="70">
        <v>0</v>
      </c>
      <c r="R131" s="71">
        <f t="shared" si="314"/>
        <v>1</v>
      </c>
      <c r="S131" s="258" t="s">
        <v>781</v>
      </c>
      <c r="T131" s="253" t="s">
        <v>782</v>
      </c>
      <c r="U131" s="270" t="s">
        <v>783</v>
      </c>
      <c r="V131" s="231" t="s">
        <v>784</v>
      </c>
      <c r="W131" s="256" t="s">
        <v>785</v>
      </c>
      <c r="X131" s="72">
        <v>45230</v>
      </c>
      <c r="Y131" s="73"/>
      <c r="Z131" s="63"/>
      <c r="AA131" s="74"/>
      <c r="AB131" s="128"/>
      <c r="AC131" s="76">
        <f t="shared" si="315"/>
        <v>300</v>
      </c>
      <c r="AD131" s="76">
        <f t="shared" si="316"/>
        <v>300</v>
      </c>
      <c r="AE131" s="70">
        <f t="shared" si="317"/>
        <v>1</v>
      </c>
      <c r="AF131" s="54">
        <f t="shared" si="307"/>
        <v>0.16355</v>
      </c>
      <c r="AG131" s="77">
        <v>0.23100000000000001</v>
      </c>
      <c r="AH131" s="285">
        <v>0.09</v>
      </c>
      <c r="AI131" s="70">
        <v>0.1666</v>
      </c>
      <c r="AJ131" s="70">
        <v>0.1666</v>
      </c>
      <c r="AK131" s="301">
        <v>566280000</v>
      </c>
      <c r="AL131" s="301">
        <v>209409620</v>
      </c>
      <c r="AM131" s="301">
        <v>367556257</v>
      </c>
      <c r="AN131" s="301">
        <v>269999040</v>
      </c>
      <c r="AO131" s="301">
        <v>544460797</v>
      </c>
      <c r="AP131" s="79">
        <f t="shared" si="299"/>
        <v>0.9614692325351416</v>
      </c>
      <c r="AQ131" s="80"/>
      <c r="AR131" s="81"/>
      <c r="AS131" s="81"/>
      <c r="AT131" s="343">
        <v>141306018</v>
      </c>
      <c r="AU131" s="329">
        <f>+AT131/AK131</f>
        <v>0.24953383132019497</v>
      </c>
      <c r="AV131" s="311"/>
      <c r="AW131" s="311"/>
      <c r="AX131" s="311"/>
      <c r="AY131" s="311"/>
      <c r="AZ131" s="311"/>
      <c r="BA131" s="311"/>
      <c r="BB131" s="311"/>
      <c r="BC131" s="328"/>
      <c r="BD131" s="317">
        <f>1273072307+AK131</f>
        <v>1839352307</v>
      </c>
      <c r="BE131" s="312">
        <f t="shared" si="318"/>
        <v>1391425714</v>
      </c>
      <c r="BF131" s="328">
        <f t="shared" si="303"/>
        <v>0.75647591203961773</v>
      </c>
      <c r="BG131" s="312">
        <f t="shared" si="319"/>
        <v>141306018</v>
      </c>
      <c r="BH131" s="328">
        <f t="shared" si="304"/>
        <v>7.6823791430403771E-2</v>
      </c>
      <c r="BI131" s="85"/>
      <c r="BJ131" s="254" t="s">
        <v>73</v>
      </c>
      <c r="BK131" s="254" t="s">
        <v>78</v>
      </c>
      <c r="BL131" s="279" t="s">
        <v>230</v>
      </c>
      <c r="BM131" s="137"/>
      <c r="BN131" s="137"/>
      <c r="BO131" s="137"/>
    </row>
    <row r="132" spans="1:67" ht="48.75" customHeight="1">
      <c r="A132" s="231" t="s">
        <v>786</v>
      </c>
      <c r="B132" s="241" t="s">
        <v>787</v>
      </c>
      <c r="C132" s="241" t="s">
        <v>241</v>
      </c>
      <c r="D132" s="64">
        <v>1</v>
      </c>
      <c r="E132" s="65">
        <v>1</v>
      </c>
      <c r="F132" s="220">
        <v>1</v>
      </c>
      <c r="G132" s="222">
        <v>1</v>
      </c>
      <c r="H132" s="64">
        <v>1</v>
      </c>
      <c r="I132" s="65">
        <v>1</v>
      </c>
      <c r="J132" s="67">
        <v>1</v>
      </c>
      <c r="K132" s="234">
        <v>1</v>
      </c>
      <c r="L132" s="68"/>
      <c r="M132" s="69"/>
      <c r="N132" s="69"/>
      <c r="O132" s="70">
        <v>1</v>
      </c>
      <c r="P132" s="70">
        <f t="shared" si="320"/>
        <v>1</v>
      </c>
      <c r="Q132" s="70">
        <f t="shared" ref="Q132:Q135" si="321">IF((J132+N132)/F132&gt;=100%,100%,(J132+N132)/F132)</f>
        <v>1</v>
      </c>
      <c r="R132" s="70">
        <f t="shared" si="314"/>
        <v>1</v>
      </c>
      <c r="S132" s="258" t="s">
        <v>788</v>
      </c>
      <c r="T132" s="253" t="s">
        <v>789</v>
      </c>
      <c r="U132" s="270" t="s">
        <v>790</v>
      </c>
      <c r="V132" s="231" t="s">
        <v>791</v>
      </c>
      <c r="W132" s="256" t="s">
        <v>792</v>
      </c>
      <c r="X132" s="72">
        <v>45230</v>
      </c>
      <c r="Y132" s="73"/>
      <c r="Z132" s="73"/>
      <c r="AA132" s="85"/>
      <c r="AB132" s="138"/>
      <c r="AC132" s="89">
        <f t="shared" si="315"/>
        <v>4</v>
      </c>
      <c r="AD132" s="89">
        <f t="shared" si="316"/>
        <v>4</v>
      </c>
      <c r="AE132" s="84">
        <f t="shared" si="317"/>
        <v>1</v>
      </c>
      <c r="AF132" s="54">
        <f t="shared" si="307"/>
        <v>0.35639999999999999</v>
      </c>
      <c r="AG132" s="94">
        <v>0.70899999999999996</v>
      </c>
      <c r="AH132" s="284">
        <v>0.28000000000000003</v>
      </c>
      <c r="AI132" s="84">
        <v>0.27</v>
      </c>
      <c r="AJ132" s="84">
        <v>0.1666</v>
      </c>
      <c r="AK132" s="301">
        <v>0</v>
      </c>
      <c r="AL132" s="301">
        <v>582120037</v>
      </c>
      <c r="AM132" s="301">
        <v>97811762</v>
      </c>
      <c r="AN132" s="301">
        <v>241444000</v>
      </c>
      <c r="AO132" s="301">
        <v>0</v>
      </c>
      <c r="AP132" s="79">
        <v>0</v>
      </c>
      <c r="AQ132" s="80"/>
      <c r="AR132" s="93"/>
      <c r="AS132" s="93"/>
      <c r="AT132" s="344">
        <v>0</v>
      </c>
      <c r="AU132" s="329">
        <v>0</v>
      </c>
      <c r="AV132" s="311"/>
      <c r="AW132" s="311"/>
      <c r="AX132" s="311"/>
      <c r="AY132" s="311"/>
      <c r="AZ132" s="311"/>
      <c r="BA132" s="311"/>
      <c r="BB132" s="311"/>
      <c r="BC132" s="328"/>
      <c r="BD132" s="317">
        <f>1258484717+AK132</f>
        <v>1258484717</v>
      </c>
      <c r="BE132" s="312">
        <f t="shared" si="318"/>
        <v>921375799</v>
      </c>
      <c r="BF132" s="328">
        <f t="shared" si="303"/>
        <v>0.73213109905410156</v>
      </c>
      <c r="BG132" s="312">
        <f t="shared" si="319"/>
        <v>0</v>
      </c>
      <c r="BH132" s="328">
        <f t="shared" si="304"/>
        <v>0</v>
      </c>
      <c r="BI132" s="85"/>
      <c r="BJ132" s="254" t="s">
        <v>73</v>
      </c>
      <c r="BK132" s="254" t="s">
        <v>78</v>
      </c>
      <c r="BL132" s="231" t="s">
        <v>230</v>
      </c>
      <c r="BM132" s="139"/>
      <c r="BN132" s="139"/>
      <c r="BO132" s="139"/>
    </row>
    <row r="133" spans="1:67" ht="48.75" customHeight="1">
      <c r="A133" s="231" t="s">
        <v>793</v>
      </c>
      <c r="B133" s="241" t="s">
        <v>794</v>
      </c>
      <c r="C133" s="241" t="s">
        <v>229</v>
      </c>
      <c r="D133" s="64">
        <v>4.8</v>
      </c>
      <c r="E133" s="65">
        <v>5.2</v>
      </c>
      <c r="F133" s="220">
        <v>5.3</v>
      </c>
      <c r="G133" s="221">
        <v>5.6</v>
      </c>
      <c r="H133" s="64">
        <v>4.8</v>
      </c>
      <c r="I133" s="65">
        <v>5.2</v>
      </c>
      <c r="J133" s="67">
        <v>5.2</v>
      </c>
      <c r="K133" s="234">
        <v>5.3</v>
      </c>
      <c r="L133" s="68"/>
      <c r="M133" s="69"/>
      <c r="N133" s="69"/>
      <c r="O133" s="70">
        <v>1</v>
      </c>
      <c r="P133" s="70">
        <f t="shared" si="320"/>
        <v>1</v>
      </c>
      <c r="Q133" s="70">
        <f t="shared" si="321"/>
        <v>0.98113207547169823</v>
      </c>
      <c r="R133" s="71">
        <f t="shared" si="314"/>
        <v>0.94642857142857151</v>
      </c>
      <c r="S133" s="258" t="s">
        <v>795</v>
      </c>
      <c r="T133" s="253" t="s">
        <v>796</v>
      </c>
      <c r="U133" s="270" t="s">
        <v>797</v>
      </c>
      <c r="V133" s="231" t="s">
        <v>798</v>
      </c>
      <c r="W133" s="272"/>
      <c r="X133" s="72">
        <v>45230</v>
      </c>
      <c r="Y133" s="73"/>
      <c r="Z133" s="63"/>
      <c r="AA133" s="74"/>
      <c r="AB133" s="128"/>
      <c r="AC133" s="76">
        <f t="shared" si="315"/>
        <v>20.9</v>
      </c>
      <c r="AD133" s="76">
        <f t="shared" si="316"/>
        <v>20.5</v>
      </c>
      <c r="AE133" s="70">
        <f t="shared" si="317"/>
        <v>0.98086124401913888</v>
      </c>
      <c r="AF133" s="54">
        <f t="shared" si="307"/>
        <v>0.130775</v>
      </c>
      <c r="AG133" s="77">
        <v>6.4999999999999997E-3</v>
      </c>
      <c r="AH133" s="285">
        <v>0.12</v>
      </c>
      <c r="AI133" s="70">
        <v>0.23</v>
      </c>
      <c r="AJ133" s="70">
        <v>0.1666</v>
      </c>
      <c r="AK133" s="301">
        <v>120000000</v>
      </c>
      <c r="AL133" s="301">
        <v>29915550</v>
      </c>
      <c r="AM133" s="301">
        <v>46862046</v>
      </c>
      <c r="AN133" s="301">
        <v>0</v>
      </c>
      <c r="AO133" s="301">
        <v>120000000</v>
      </c>
      <c r="AP133" s="79">
        <f t="shared" ref="AP133:AP134" si="322">+AO133/AK133</f>
        <v>1</v>
      </c>
      <c r="AQ133" s="80"/>
      <c r="AR133" s="81"/>
      <c r="AS133" s="81"/>
      <c r="AT133" s="344">
        <v>0</v>
      </c>
      <c r="AU133" s="329">
        <f>+AT133/AK133</f>
        <v>0</v>
      </c>
      <c r="AV133" s="311"/>
      <c r="AW133" s="311"/>
      <c r="AX133" s="311"/>
      <c r="AY133" s="311"/>
      <c r="AZ133" s="311"/>
      <c r="BA133" s="311"/>
      <c r="BB133" s="311"/>
      <c r="BC133" s="328"/>
      <c r="BD133" s="317">
        <f>85345045+AK133</f>
        <v>205345045</v>
      </c>
      <c r="BE133" s="312">
        <f t="shared" si="318"/>
        <v>196777596</v>
      </c>
      <c r="BF133" s="328">
        <f t="shared" si="303"/>
        <v>0.95827779043804051</v>
      </c>
      <c r="BG133" s="312">
        <f t="shared" si="319"/>
        <v>0</v>
      </c>
      <c r="BH133" s="328">
        <f t="shared" si="304"/>
        <v>0</v>
      </c>
      <c r="BI133" s="85"/>
      <c r="BJ133" s="254" t="s">
        <v>67</v>
      </c>
      <c r="BK133" s="254" t="s">
        <v>82</v>
      </c>
      <c r="BL133" s="279" t="s">
        <v>225</v>
      </c>
      <c r="BM133" s="137"/>
      <c r="BN133" s="137"/>
      <c r="BO133" s="137"/>
    </row>
    <row r="134" spans="1:67" ht="56.25" customHeight="1">
      <c r="A134" s="231" t="s">
        <v>799</v>
      </c>
      <c r="B134" s="241" t="s">
        <v>800</v>
      </c>
      <c r="C134" s="241" t="s">
        <v>241</v>
      </c>
      <c r="D134" s="64">
        <v>1</v>
      </c>
      <c r="E134" s="65">
        <v>1</v>
      </c>
      <c r="F134" s="220">
        <v>1</v>
      </c>
      <c r="G134" s="222">
        <v>1</v>
      </c>
      <c r="H134" s="64">
        <v>1</v>
      </c>
      <c r="I134" s="65">
        <v>1</v>
      </c>
      <c r="J134" s="67">
        <v>1</v>
      </c>
      <c r="K134" s="236">
        <v>1</v>
      </c>
      <c r="L134" s="68"/>
      <c r="M134" s="69"/>
      <c r="N134" s="69"/>
      <c r="O134" s="70">
        <v>1</v>
      </c>
      <c r="P134" s="70">
        <f t="shared" si="320"/>
        <v>1</v>
      </c>
      <c r="Q134" s="70">
        <f t="shared" si="321"/>
        <v>1</v>
      </c>
      <c r="R134" s="70">
        <f t="shared" si="314"/>
        <v>1</v>
      </c>
      <c r="S134" s="265" t="s">
        <v>801</v>
      </c>
      <c r="T134" s="253" t="s">
        <v>802</v>
      </c>
      <c r="U134" s="270"/>
      <c r="V134" s="231" t="s">
        <v>803</v>
      </c>
      <c r="W134" s="256" t="s">
        <v>804</v>
      </c>
      <c r="X134" s="72">
        <v>45230</v>
      </c>
      <c r="Y134" s="73"/>
      <c r="Z134" s="73"/>
      <c r="AA134" s="85"/>
      <c r="AB134" s="138"/>
      <c r="AC134" s="89">
        <f t="shared" si="315"/>
        <v>4</v>
      </c>
      <c r="AD134" s="89">
        <f t="shared" si="316"/>
        <v>4</v>
      </c>
      <c r="AE134" s="84">
        <f t="shared" si="317"/>
        <v>1</v>
      </c>
      <c r="AF134" s="54">
        <f t="shared" si="307"/>
        <v>9.6324999999999994E-2</v>
      </c>
      <c r="AG134" s="94">
        <v>5.21E-2</v>
      </c>
      <c r="AH134" s="284">
        <v>0</v>
      </c>
      <c r="AI134" s="84">
        <v>0.1666</v>
      </c>
      <c r="AJ134" s="84">
        <v>0.1666</v>
      </c>
      <c r="AK134" s="301">
        <v>55650070</v>
      </c>
      <c r="AL134" s="301">
        <v>24504322</v>
      </c>
      <c r="AM134" s="301">
        <v>0</v>
      </c>
      <c r="AN134" s="301">
        <v>0</v>
      </c>
      <c r="AO134" s="301">
        <v>25546041</v>
      </c>
      <c r="AP134" s="79">
        <f t="shared" si="322"/>
        <v>0.45904777837655908</v>
      </c>
      <c r="AQ134" s="80"/>
      <c r="AR134" s="93"/>
      <c r="AS134" s="93"/>
      <c r="AT134" s="343">
        <v>34439062</v>
      </c>
      <c r="AU134" s="329">
        <f>+AT134/AK134</f>
        <v>0.61885029075435127</v>
      </c>
      <c r="AV134" s="311"/>
      <c r="AW134" s="311"/>
      <c r="AX134" s="311"/>
      <c r="AY134" s="311"/>
      <c r="AZ134" s="311"/>
      <c r="BA134" s="311"/>
      <c r="BB134" s="311"/>
      <c r="BC134" s="328"/>
      <c r="BD134" s="317">
        <f>24504356+AK134</f>
        <v>80154426</v>
      </c>
      <c r="BE134" s="312">
        <f t="shared" si="318"/>
        <v>50050363</v>
      </c>
      <c r="BF134" s="328">
        <f t="shared" si="303"/>
        <v>0.62442419586411857</v>
      </c>
      <c r="BG134" s="312">
        <f t="shared" si="319"/>
        <v>34439062</v>
      </c>
      <c r="BH134" s="328">
        <f t="shared" si="304"/>
        <v>0.42965889369602622</v>
      </c>
      <c r="BI134" s="85"/>
      <c r="BJ134" s="254" t="s">
        <v>79</v>
      </c>
      <c r="BK134" s="254" t="s">
        <v>101</v>
      </c>
      <c r="BL134" s="231" t="s">
        <v>230</v>
      </c>
      <c r="BM134" s="139"/>
      <c r="BN134" s="139"/>
      <c r="BO134" s="139"/>
    </row>
    <row r="135" spans="1:67" ht="61.5" customHeight="1">
      <c r="A135" s="231" t="s">
        <v>805</v>
      </c>
      <c r="B135" s="241" t="s">
        <v>806</v>
      </c>
      <c r="C135" s="241" t="s">
        <v>241</v>
      </c>
      <c r="D135" s="64">
        <v>1</v>
      </c>
      <c r="E135" s="65">
        <v>1</v>
      </c>
      <c r="F135" s="220">
        <v>1</v>
      </c>
      <c r="G135" s="222">
        <v>1</v>
      </c>
      <c r="H135" s="64">
        <v>1</v>
      </c>
      <c r="I135" s="65">
        <v>1</v>
      </c>
      <c r="J135" s="67">
        <v>1</v>
      </c>
      <c r="K135" s="236">
        <v>1</v>
      </c>
      <c r="L135" s="68"/>
      <c r="M135" s="69"/>
      <c r="N135" s="69"/>
      <c r="O135" s="70">
        <v>1</v>
      </c>
      <c r="P135" s="70">
        <f t="shared" si="320"/>
        <v>1</v>
      </c>
      <c r="Q135" s="70">
        <f t="shared" si="321"/>
        <v>1</v>
      </c>
      <c r="R135" s="70">
        <f t="shared" si="314"/>
        <v>1</v>
      </c>
      <c r="S135" s="265" t="s">
        <v>807</v>
      </c>
      <c r="T135" s="253" t="s">
        <v>808</v>
      </c>
      <c r="U135" s="270"/>
      <c r="V135" s="231"/>
      <c r="W135" s="256" t="s">
        <v>809</v>
      </c>
      <c r="X135" s="72">
        <v>45230</v>
      </c>
      <c r="Y135" s="73"/>
      <c r="Z135" s="73"/>
      <c r="AA135" s="85"/>
      <c r="AB135" s="138"/>
      <c r="AC135" s="89">
        <f t="shared" si="315"/>
        <v>4</v>
      </c>
      <c r="AD135" s="89">
        <f t="shared" si="316"/>
        <v>4</v>
      </c>
      <c r="AE135" s="84">
        <f t="shared" si="317"/>
        <v>1</v>
      </c>
      <c r="AF135" s="54">
        <f t="shared" si="307"/>
        <v>9.8299999999999998E-2</v>
      </c>
      <c r="AG135" s="94">
        <v>0</v>
      </c>
      <c r="AH135" s="284">
        <v>0.06</v>
      </c>
      <c r="AI135" s="84">
        <v>0.1666</v>
      </c>
      <c r="AJ135" s="84">
        <v>0.1666</v>
      </c>
      <c r="AK135" s="297">
        <v>0</v>
      </c>
      <c r="AL135" s="301">
        <v>0</v>
      </c>
      <c r="AM135" s="301">
        <v>29999996</v>
      </c>
      <c r="AN135" s="301">
        <v>0</v>
      </c>
      <c r="AO135" s="301">
        <v>0</v>
      </c>
      <c r="AP135" s="79">
        <v>0</v>
      </c>
      <c r="AQ135" s="80"/>
      <c r="AR135" s="93"/>
      <c r="AS135" s="93"/>
      <c r="AT135" s="344">
        <v>0</v>
      </c>
      <c r="AU135" s="329">
        <v>0</v>
      </c>
      <c r="AV135" s="311"/>
      <c r="AW135" s="311"/>
      <c r="AX135" s="311"/>
      <c r="AY135" s="311"/>
      <c r="AZ135" s="311"/>
      <c r="BA135" s="311"/>
      <c r="BB135" s="311"/>
      <c r="BC135" s="328" t="e">
        <f>+BB135/BA135</f>
        <v>#DIV/0!</v>
      </c>
      <c r="BD135" s="317">
        <f>30000000+AK135</f>
        <v>30000000</v>
      </c>
      <c r="BE135" s="312">
        <f t="shared" si="318"/>
        <v>29999996</v>
      </c>
      <c r="BF135" s="328">
        <f t="shared" si="303"/>
        <v>0.99999986666666663</v>
      </c>
      <c r="BG135" s="312">
        <f t="shared" si="319"/>
        <v>0</v>
      </c>
      <c r="BH135" s="328">
        <f t="shared" si="304"/>
        <v>0</v>
      </c>
      <c r="BI135" s="85"/>
      <c r="BJ135" s="254" t="s">
        <v>73</v>
      </c>
      <c r="BK135" s="254" t="s">
        <v>78</v>
      </c>
      <c r="BL135" s="231" t="s">
        <v>230</v>
      </c>
      <c r="BM135" s="139"/>
      <c r="BN135" s="139"/>
      <c r="BO135" s="139"/>
    </row>
    <row r="136" spans="1:67" ht="27.75" customHeight="1">
      <c r="A136" s="195" t="s">
        <v>810</v>
      </c>
      <c r="B136" s="53"/>
      <c r="C136" s="53"/>
      <c r="D136" s="53"/>
      <c r="E136" s="53"/>
      <c r="F136" s="53"/>
      <c r="G136" s="53"/>
      <c r="H136" s="53"/>
      <c r="I136" s="53"/>
      <c r="J136" s="53"/>
      <c r="K136" s="53"/>
      <c r="L136" s="53"/>
      <c r="M136" s="53"/>
      <c r="N136" s="53"/>
      <c r="O136" s="54">
        <f>+SUMPRODUCT(O137:O139,AG137:AG139)</f>
        <v>1</v>
      </c>
      <c r="P136" s="54">
        <f>+SUMPRODUCT(P137:P139,AH137:AH139)</f>
        <v>0.95570599999999994</v>
      </c>
      <c r="Q136" s="54">
        <f>+SUMPRODUCT(Q137:Q139,AI137:AI139)</f>
        <v>0.97504999999999997</v>
      </c>
      <c r="R136" s="54">
        <f>+SUMPRODUCT(R137:R139,AJ137:AJ139)</f>
        <v>0.9235847199999998</v>
      </c>
      <c r="S136" s="259"/>
      <c r="T136" s="259"/>
      <c r="U136" s="259"/>
      <c r="V136" s="259"/>
      <c r="W136" s="259"/>
      <c r="X136" s="55"/>
      <c r="Y136" s="56"/>
      <c r="Z136" s="56"/>
      <c r="AA136" s="56"/>
      <c r="AB136" s="56"/>
      <c r="AC136" s="57"/>
      <c r="AD136" s="57"/>
      <c r="AE136" s="54">
        <f>+SUMPRODUCT(AE137:AE139,AF137:AF139)</f>
        <v>0.96121084499999998</v>
      </c>
      <c r="AF136" s="54">
        <f t="shared" si="307"/>
        <v>0.33247499999999997</v>
      </c>
      <c r="AG136" s="54">
        <v>0.33</v>
      </c>
      <c r="AH136" s="249">
        <v>0.33329999999999999</v>
      </c>
      <c r="AI136" s="54">
        <v>0.33329999999999999</v>
      </c>
      <c r="AJ136" s="54">
        <v>0.33329999999999999</v>
      </c>
      <c r="AK136" s="296">
        <f t="shared" ref="AK136:AO136" si="323">SUM(AK137:AK139)</f>
        <v>948577385</v>
      </c>
      <c r="AL136" s="296">
        <f t="shared" si="323"/>
        <v>17536868</v>
      </c>
      <c r="AM136" s="296">
        <f t="shared" si="323"/>
        <v>765664729</v>
      </c>
      <c r="AN136" s="296">
        <f t="shared" si="323"/>
        <v>1000092779</v>
      </c>
      <c r="AO136" s="296">
        <f t="shared" si="323"/>
        <v>656874179</v>
      </c>
      <c r="AP136" s="59">
        <f t="shared" ref="AP136:AP138" si="324">+AO136/AK136</f>
        <v>0.69248349094892248</v>
      </c>
      <c r="AQ136" s="182"/>
      <c r="AR136" s="182"/>
      <c r="AS136" s="182"/>
      <c r="AT136" s="323">
        <f>+SUM(AT137:AT139)</f>
        <v>444288335</v>
      </c>
      <c r="AU136" s="331"/>
      <c r="AV136" s="310"/>
      <c r="AW136" s="310"/>
      <c r="AX136" s="310"/>
      <c r="AY136" s="310"/>
      <c r="AZ136" s="310"/>
      <c r="BA136" s="310"/>
      <c r="BB136" s="310"/>
      <c r="BC136" s="325"/>
      <c r="BD136" s="300">
        <f t="shared" ref="BD136:BE136" si="325">SUM(BD137:BD139)</f>
        <v>2800676632</v>
      </c>
      <c r="BE136" s="300">
        <f t="shared" si="325"/>
        <v>2440168555</v>
      </c>
      <c r="BF136" s="325">
        <f t="shared" si="303"/>
        <v>0.87127822152657575</v>
      </c>
      <c r="BG136" s="300">
        <f>SUM(BG137:BG139)</f>
        <v>444288335</v>
      </c>
      <c r="BH136" s="325">
        <f>+BG136/BD136</f>
        <v>0.15863607027089302</v>
      </c>
      <c r="BI136" s="56"/>
      <c r="BJ136" s="350" t="s">
        <v>73</v>
      </c>
      <c r="BK136" s="350" t="s">
        <v>78</v>
      </c>
      <c r="BL136" s="350" t="s">
        <v>230</v>
      </c>
      <c r="BM136" s="62"/>
      <c r="BN136" s="62"/>
      <c r="BO136" s="62"/>
    </row>
    <row r="137" spans="1:67" ht="20.100000000000001" customHeight="1">
      <c r="A137" s="231" t="s">
        <v>228</v>
      </c>
      <c r="B137" s="243"/>
      <c r="C137" s="241" t="s">
        <v>229</v>
      </c>
      <c r="D137" s="64">
        <v>0</v>
      </c>
      <c r="E137" s="65">
        <v>100</v>
      </c>
      <c r="F137" s="220">
        <v>100</v>
      </c>
      <c r="G137" s="66">
        <v>100</v>
      </c>
      <c r="H137" s="64">
        <v>0</v>
      </c>
      <c r="I137" s="65">
        <v>94</v>
      </c>
      <c r="J137" s="67">
        <v>98.5</v>
      </c>
      <c r="K137" s="233">
        <v>77.08</v>
      </c>
      <c r="L137" s="68"/>
      <c r="M137" s="69"/>
      <c r="N137" s="69"/>
      <c r="O137" s="70">
        <v>0</v>
      </c>
      <c r="P137" s="70">
        <f t="shared" ref="P137:Q137" si="326">IF((I137+M137)/E137&gt;=100%,100%,(I137+M137)/E137)</f>
        <v>0.94</v>
      </c>
      <c r="Q137" s="70">
        <f t="shared" si="326"/>
        <v>0.98499999999999999</v>
      </c>
      <c r="R137" s="71">
        <f t="shared" ref="R137:R139" si="327">IF(K137/G137&gt;=100%,100%,K137/G137)</f>
        <v>0.77079999999999993</v>
      </c>
      <c r="S137" s="261"/>
      <c r="T137" s="261"/>
      <c r="U137" s="261"/>
      <c r="V137" s="231"/>
      <c r="W137" s="231"/>
      <c r="X137" s="72">
        <v>45230</v>
      </c>
      <c r="Y137" s="73"/>
      <c r="Z137" s="63"/>
      <c r="AA137" s="74"/>
      <c r="AB137" s="128"/>
      <c r="AC137" s="76">
        <f t="shared" ref="AC137:AC139" si="328">SUM(D137:G137)</f>
        <v>300</v>
      </c>
      <c r="AD137" s="76">
        <f t="shared" ref="AD137:AD139" si="329">SUM(H137:N137)</f>
        <v>269.58</v>
      </c>
      <c r="AE137" s="70">
        <f t="shared" ref="AE137:AE139" si="330">IF(AD137/AC137&gt;=100%,100%,AD137/AC137)</f>
        <v>0.89859999999999995</v>
      </c>
      <c r="AF137" s="54">
        <f t="shared" si="307"/>
        <v>0.30832499999999996</v>
      </c>
      <c r="AG137" s="77">
        <v>0</v>
      </c>
      <c r="AH137" s="289">
        <v>0.56989999999999996</v>
      </c>
      <c r="AI137" s="70">
        <v>0.33</v>
      </c>
      <c r="AJ137" s="70">
        <v>0.33339999999999997</v>
      </c>
      <c r="AK137" s="301">
        <v>422372000</v>
      </c>
      <c r="AL137" s="301">
        <v>0</v>
      </c>
      <c r="AM137" s="301">
        <f>258043984+13710389</f>
        <v>271754373</v>
      </c>
      <c r="AN137" s="301">
        <v>364324950</v>
      </c>
      <c r="AO137" s="356">
        <v>325565978</v>
      </c>
      <c r="AP137" s="79">
        <f t="shared" si="324"/>
        <v>0.77080388378017484</v>
      </c>
      <c r="AQ137" s="80"/>
      <c r="AR137" s="81"/>
      <c r="AS137" s="81"/>
      <c r="AT137" s="343">
        <v>324579697</v>
      </c>
      <c r="AU137" s="329">
        <f>+AT137/AK137</f>
        <v>0.76846878344208425</v>
      </c>
      <c r="AV137" s="311"/>
      <c r="AW137" s="311"/>
      <c r="AX137" s="311"/>
      <c r="AY137" s="311"/>
      <c r="AZ137" s="311"/>
      <c r="BA137" s="311"/>
      <c r="BB137" s="311"/>
      <c r="BC137" s="328"/>
      <c r="BD137" s="317">
        <f>658368366+AK137</f>
        <v>1080740366</v>
      </c>
      <c r="BE137" s="312">
        <f>+AL137+AM137+AN137+AO137</f>
        <v>961645301</v>
      </c>
      <c r="BF137" s="328">
        <f t="shared" si="303"/>
        <v>0.88980233481905491</v>
      </c>
      <c r="BG137" s="312">
        <f>SUM(AQ137:AT137)+AX137+AZ137+BB137</f>
        <v>324579697</v>
      </c>
      <c r="BH137" s="328">
        <f t="shared" si="304"/>
        <v>0.30033087243823742</v>
      </c>
      <c r="BI137" s="85"/>
      <c r="BJ137" s="254" t="s">
        <v>81</v>
      </c>
      <c r="BK137" s="254" t="s">
        <v>83</v>
      </c>
      <c r="BL137" s="279" t="s">
        <v>230</v>
      </c>
      <c r="BM137" s="137"/>
      <c r="BN137" s="137"/>
      <c r="BO137" s="137"/>
    </row>
    <row r="138" spans="1:67" ht="39.75" customHeight="1">
      <c r="A138" s="231" t="s">
        <v>811</v>
      </c>
      <c r="B138" s="241" t="s">
        <v>812</v>
      </c>
      <c r="C138" s="241" t="s">
        <v>241</v>
      </c>
      <c r="D138" s="64">
        <v>28</v>
      </c>
      <c r="E138" s="65">
        <v>28</v>
      </c>
      <c r="F138" s="220">
        <v>28</v>
      </c>
      <c r="G138" s="222">
        <v>28</v>
      </c>
      <c r="H138" s="64">
        <v>28</v>
      </c>
      <c r="I138" s="65">
        <v>28</v>
      </c>
      <c r="J138" s="67">
        <v>28</v>
      </c>
      <c r="K138" s="234">
        <v>28</v>
      </c>
      <c r="L138" s="68"/>
      <c r="M138" s="69"/>
      <c r="N138" s="69"/>
      <c r="O138" s="70">
        <v>1</v>
      </c>
      <c r="P138" s="70">
        <f t="shared" ref="P138:Q138" si="331">IF((I138+M138)/E138&gt;=100%,100%,(I138+M138)/E138)</f>
        <v>1</v>
      </c>
      <c r="Q138" s="70">
        <f t="shared" si="331"/>
        <v>1</v>
      </c>
      <c r="R138" s="70">
        <f t="shared" si="327"/>
        <v>1</v>
      </c>
      <c r="S138" s="258" t="s">
        <v>813</v>
      </c>
      <c r="T138" s="253" t="s">
        <v>814</v>
      </c>
      <c r="U138" s="270" t="s">
        <v>815</v>
      </c>
      <c r="V138" s="231" t="s">
        <v>816</v>
      </c>
      <c r="W138" s="256" t="s">
        <v>816</v>
      </c>
      <c r="X138" s="72">
        <v>45230</v>
      </c>
      <c r="Y138" s="73"/>
      <c r="Z138" s="73"/>
      <c r="AA138" s="85"/>
      <c r="AB138" s="138"/>
      <c r="AC138" s="89">
        <f t="shared" si="328"/>
        <v>112</v>
      </c>
      <c r="AD138" s="89">
        <f t="shared" si="329"/>
        <v>112</v>
      </c>
      <c r="AE138" s="84">
        <f t="shared" si="330"/>
        <v>1</v>
      </c>
      <c r="AF138" s="54">
        <f t="shared" si="307"/>
        <v>0.50332500000000002</v>
      </c>
      <c r="AG138" s="94">
        <v>1</v>
      </c>
      <c r="AH138" s="284">
        <v>0.35</v>
      </c>
      <c r="AI138" s="84">
        <v>0.33</v>
      </c>
      <c r="AJ138" s="84">
        <v>0.33329999999999999</v>
      </c>
      <c r="AK138" s="301">
        <v>526205385</v>
      </c>
      <c r="AL138" s="301">
        <v>17536868</v>
      </c>
      <c r="AM138" s="301">
        <v>471686161</v>
      </c>
      <c r="AN138" s="301">
        <v>606450111</v>
      </c>
      <c r="AO138" s="301">
        <v>331308201</v>
      </c>
      <c r="AP138" s="79">
        <f t="shared" si="324"/>
        <v>0.62961765585124141</v>
      </c>
      <c r="AQ138" s="80"/>
      <c r="AR138" s="93"/>
      <c r="AS138" s="93"/>
      <c r="AT138" s="343">
        <v>119708638</v>
      </c>
      <c r="AU138" s="329">
        <f>+AT138/AK138</f>
        <v>0.22749413330310178</v>
      </c>
      <c r="AV138" s="311"/>
      <c r="AW138" s="311"/>
      <c r="AX138" s="311"/>
      <c r="AY138" s="311"/>
      <c r="AZ138" s="311"/>
      <c r="BA138" s="311"/>
      <c r="BB138" s="311"/>
      <c r="BC138" s="328"/>
      <c r="BD138" s="317">
        <f>1142114969+AK138</f>
        <v>1668320354</v>
      </c>
      <c r="BE138" s="312">
        <f>+AL138+AM138+AN138+AO138</f>
        <v>1426981341</v>
      </c>
      <c r="BF138" s="328">
        <f t="shared" si="303"/>
        <v>0.85534012552124028</v>
      </c>
      <c r="BG138" s="312">
        <f>SUM(AQ138:AT138)+AX138+AZ138+BB138</f>
        <v>119708638</v>
      </c>
      <c r="BH138" s="328">
        <f t="shared" si="304"/>
        <v>7.1753987603750111E-2</v>
      </c>
      <c r="BI138" s="85"/>
      <c r="BJ138" s="254" t="s">
        <v>73</v>
      </c>
      <c r="BK138" s="254" t="s">
        <v>78</v>
      </c>
      <c r="BL138" s="231" t="s">
        <v>230</v>
      </c>
      <c r="BM138" s="139"/>
      <c r="BN138" s="139"/>
      <c r="BO138" s="139"/>
    </row>
    <row r="139" spans="1:67" ht="20.100000000000001" customHeight="1">
      <c r="A139" s="231" t="s">
        <v>817</v>
      </c>
      <c r="B139" s="241" t="s">
        <v>818</v>
      </c>
      <c r="C139" s="241" t="s">
        <v>819</v>
      </c>
      <c r="D139" s="64">
        <v>1</v>
      </c>
      <c r="E139" s="65">
        <v>1</v>
      </c>
      <c r="F139" s="220">
        <v>1</v>
      </c>
      <c r="G139" s="222">
        <v>1</v>
      </c>
      <c r="H139" s="64">
        <v>1</v>
      </c>
      <c r="I139" s="65">
        <v>1</v>
      </c>
      <c r="J139" s="67">
        <v>1</v>
      </c>
      <c r="K139" s="234">
        <v>1</v>
      </c>
      <c r="L139" s="68"/>
      <c r="M139" s="69"/>
      <c r="N139" s="69"/>
      <c r="O139" s="70">
        <f t="shared" ref="O139:Q139" si="332">IF((H139+L139)/D139&gt;=100%,100%,(H139+L139)/D139)</f>
        <v>1</v>
      </c>
      <c r="P139" s="70">
        <f t="shared" si="332"/>
        <v>1</v>
      </c>
      <c r="Q139" s="70">
        <f t="shared" si="332"/>
        <v>1</v>
      </c>
      <c r="R139" s="70">
        <f t="shared" si="327"/>
        <v>1</v>
      </c>
      <c r="S139" s="258" t="s">
        <v>820</v>
      </c>
      <c r="T139" s="253" t="s">
        <v>821</v>
      </c>
      <c r="U139" s="270" t="s">
        <v>822</v>
      </c>
      <c r="V139" s="231" t="s">
        <v>823</v>
      </c>
      <c r="W139" s="256" t="s">
        <v>823</v>
      </c>
      <c r="X139" s="72">
        <v>45230</v>
      </c>
      <c r="Y139" s="73"/>
      <c r="Z139" s="73"/>
      <c r="AA139" s="85"/>
      <c r="AB139" s="138"/>
      <c r="AC139" s="89">
        <f t="shared" si="328"/>
        <v>4</v>
      </c>
      <c r="AD139" s="89">
        <f t="shared" si="329"/>
        <v>4</v>
      </c>
      <c r="AE139" s="84">
        <f t="shared" si="330"/>
        <v>1</v>
      </c>
      <c r="AF139" s="54">
        <f t="shared" si="307"/>
        <v>0.18082500000000001</v>
      </c>
      <c r="AG139" s="94">
        <v>0</v>
      </c>
      <c r="AH139" s="284">
        <v>7.0000000000000007E-2</v>
      </c>
      <c r="AI139" s="84">
        <v>0.32</v>
      </c>
      <c r="AJ139" s="84">
        <v>0.33329999999999999</v>
      </c>
      <c r="AK139" s="301">
        <v>0</v>
      </c>
      <c r="AL139" s="301">
        <v>0</v>
      </c>
      <c r="AM139" s="301">
        <v>22224195</v>
      </c>
      <c r="AN139" s="301">
        <v>29317718</v>
      </c>
      <c r="AO139" s="301">
        <v>0</v>
      </c>
      <c r="AP139" s="79">
        <v>0</v>
      </c>
      <c r="AQ139" s="80"/>
      <c r="AR139" s="93"/>
      <c r="AS139" s="93"/>
      <c r="AT139" s="344">
        <v>0</v>
      </c>
      <c r="AU139" s="329">
        <v>0</v>
      </c>
      <c r="AV139" s="311"/>
      <c r="AW139" s="311"/>
      <c r="AX139" s="311"/>
      <c r="AY139" s="311"/>
      <c r="AZ139" s="311"/>
      <c r="BA139" s="311"/>
      <c r="BB139" s="311"/>
      <c r="BC139" s="328"/>
      <c r="BD139" s="317">
        <f>51615912+AK139</f>
        <v>51615912</v>
      </c>
      <c r="BE139" s="312">
        <f>+AL139+AM139+AN139+AO139</f>
        <v>51541913</v>
      </c>
      <c r="BF139" s="328">
        <f t="shared" si="303"/>
        <v>0.99856635294945484</v>
      </c>
      <c r="BG139" s="312">
        <f>SUM(AQ139:AT139)+AX139+AZ139+BB139</f>
        <v>0</v>
      </c>
      <c r="BH139" s="328">
        <f t="shared" si="304"/>
        <v>0</v>
      </c>
      <c r="BI139" s="85"/>
      <c r="BJ139" s="254" t="s">
        <v>73</v>
      </c>
      <c r="BK139" s="254" t="s">
        <v>78</v>
      </c>
      <c r="BL139" s="352" t="s">
        <v>335</v>
      </c>
      <c r="BM139" s="139"/>
      <c r="BN139" s="139"/>
      <c r="BO139" s="139"/>
    </row>
    <row r="140" spans="1:67" ht="30.75" customHeight="1">
      <c r="A140" s="195" t="s">
        <v>824</v>
      </c>
      <c r="B140" s="53"/>
      <c r="C140" s="53"/>
      <c r="D140" s="53"/>
      <c r="E140" s="53"/>
      <c r="F140" s="53"/>
      <c r="G140" s="53"/>
      <c r="H140" s="53"/>
      <c r="I140" s="53"/>
      <c r="J140" s="53"/>
      <c r="K140" s="53"/>
      <c r="L140" s="53"/>
      <c r="M140" s="53"/>
      <c r="N140" s="53"/>
      <c r="O140" s="54">
        <f>+SUMPRODUCT(O141:O146,AG141:AG146)</f>
        <v>0.99980000000000002</v>
      </c>
      <c r="P140" s="54">
        <f>+SUMPRODUCT(P141:P146,AH141:AH146)</f>
        <v>0.98</v>
      </c>
      <c r="Q140" s="54">
        <f>+SUMPRODUCT(Q141:Q146,AI141:AI146)</f>
        <v>1</v>
      </c>
      <c r="R140" s="54">
        <f>+SUMPRODUCT(R141:R146,AJ141:AJ146)</f>
        <v>0.99959999999999993</v>
      </c>
      <c r="S140" s="273"/>
      <c r="T140" s="259"/>
      <c r="U140" s="259"/>
      <c r="V140" s="259"/>
      <c r="W140" s="259"/>
      <c r="X140" s="55"/>
      <c r="Y140" s="56"/>
      <c r="Z140" s="56"/>
      <c r="AA140" s="56"/>
      <c r="AB140" s="56"/>
      <c r="AC140" s="57"/>
      <c r="AD140" s="57"/>
      <c r="AE140" s="54">
        <f>+SUMPRODUCT(AE141:AE146,AF141:AF146)</f>
        <v>1.0365</v>
      </c>
      <c r="AF140" s="54">
        <f t="shared" si="307"/>
        <v>0.33247499999999997</v>
      </c>
      <c r="AG140" s="54">
        <v>0.33</v>
      </c>
      <c r="AH140" s="249">
        <v>0.33329999999999999</v>
      </c>
      <c r="AI140" s="54">
        <v>0.33329999999999999</v>
      </c>
      <c r="AJ140" s="54">
        <v>0.33329999999999999</v>
      </c>
      <c r="AK140" s="296">
        <f>SUM(AK141:AK146)</f>
        <v>786483362</v>
      </c>
      <c r="AL140" s="296">
        <f t="shared" ref="AL140:AO140" si="333">SUM(AL141:AL146)</f>
        <v>379071919</v>
      </c>
      <c r="AM140" s="296">
        <f t="shared" si="333"/>
        <v>432203936</v>
      </c>
      <c r="AN140" s="296">
        <f t="shared" si="333"/>
        <v>345436850</v>
      </c>
      <c r="AO140" s="296">
        <f t="shared" si="333"/>
        <v>659225839</v>
      </c>
      <c r="AP140" s="59">
        <f t="shared" ref="AP140:AP143" si="334">+AO140/AK140</f>
        <v>0.83819425921943402</v>
      </c>
      <c r="AQ140" s="182"/>
      <c r="AR140" s="182"/>
      <c r="AS140" s="182"/>
      <c r="AT140" s="323">
        <f>+SUM(AT141:AT146)</f>
        <v>165740925</v>
      </c>
      <c r="AU140" s="331"/>
      <c r="AV140" s="310"/>
      <c r="AW140" s="310"/>
      <c r="AX140" s="310"/>
      <c r="AY140" s="310"/>
      <c r="AZ140" s="310"/>
      <c r="BA140" s="310"/>
      <c r="BB140" s="310"/>
      <c r="BC140" s="325"/>
      <c r="BD140" s="300">
        <f t="shared" ref="BD140:BE140" si="335">SUM(BD141:BD146)</f>
        <v>2064265650</v>
      </c>
      <c r="BE140" s="300">
        <f t="shared" si="335"/>
        <v>1815938544</v>
      </c>
      <c r="BF140" s="325">
        <f t="shared" si="303"/>
        <v>0.87970196277790114</v>
      </c>
      <c r="BG140" s="300">
        <f>SUM(BG141:BG146)</f>
        <v>165740925</v>
      </c>
      <c r="BH140" s="325">
        <f>+BG140/BD140</f>
        <v>8.0290501854739488E-2</v>
      </c>
      <c r="BI140" s="56"/>
      <c r="BJ140" s="350" t="s">
        <v>71</v>
      </c>
      <c r="BK140" s="350" t="s">
        <v>83</v>
      </c>
      <c r="BL140" s="231" t="s">
        <v>230</v>
      </c>
      <c r="BM140" s="140"/>
      <c r="BN140" s="140"/>
      <c r="BO140" s="140"/>
    </row>
    <row r="141" spans="1:67" ht="20.100000000000001" customHeight="1">
      <c r="A141" s="231" t="s">
        <v>228</v>
      </c>
      <c r="B141" s="231"/>
      <c r="C141" s="241" t="s">
        <v>229</v>
      </c>
      <c r="D141" s="64">
        <v>0</v>
      </c>
      <c r="E141" s="65">
        <v>0</v>
      </c>
      <c r="F141" s="220">
        <v>0</v>
      </c>
      <c r="G141" s="141">
        <v>100</v>
      </c>
      <c r="H141" s="64">
        <v>0</v>
      </c>
      <c r="I141" s="65">
        <v>0</v>
      </c>
      <c r="J141" s="67">
        <v>0</v>
      </c>
      <c r="K141" s="233">
        <v>100</v>
      </c>
      <c r="L141" s="68"/>
      <c r="M141" s="69"/>
      <c r="N141" s="69"/>
      <c r="O141" s="70">
        <v>0</v>
      </c>
      <c r="P141" s="70">
        <v>0</v>
      </c>
      <c r="Q141" s="70">
        <v>0</v>
      </c>
      <c r="R141" s="70">
        <f t="shared" ref="R141:R146" si="336">IF(K141/G141&gt;=100%,100%,K141/G141)</f>
        <v>1</v>
      </c>
      <c r="S141" s="274"/>
      <c r="T141" s="274"/>
      <c r="U141" s="274"/>
      <c r="V141" s="231"/>
      <c r="W141" s="231"/>
      <c r="X141" s="72">
        <v>45230</v>
      </c>
      <c r="Y141" s="73"/>
      <c r="Z141" s="73"/>
      <c r="AA141" s="85"/>
      <c r="AB141" s="138"/>
      <c r="AC141" s="89">
        <f t="shared" ref="AC141:AC146" si="337">SUM(D141:G141)</f>
        <v>100</v>
      </c>
      <c r="AD141" s="89">
        <f t="shared" ref="AD141:AD146" si="338">SUM(H141:N141)</f>
        <v>100</v>
      </c>
      <c r="AE141" s="84">
        <f t="shared" ref="AE141:AE146" si="339">IF(AD141/AC141&gt;=100%,100%,AD141/AC141)</f>
        <v>1</v>
      </c>
      <c r="AF141" s="54">
        <f t="shared" si="307"/>
        <v>8.3299999999999999E-2</v>
      </c>
      <c r="AG141" s="94">
        <v>0</v>
      </c>
      <c r="AH141" s="287">
        <v>0</v>
      </c>
      <c r="AI141" s="84">
        <v>0.1666</v>
      </c>
      <c r="AJ141" s="84">
        <v>0.1666</v>
      </c>
      <c r="AK141" s="301">
        <v>1000000</v>
      </c>
      <c r="AL141" s="301">
        <v>0</v>
      </c>
      <c r="AM141" s="301">
        <v>0</v>
      </c>
      <c r="AN141" s="301">
        <v>0</v>
      </c>
      <c r="AO141" s="301">
        <v>1000000</v>
      </c>
      <c r="AP141" s="79">
        <f t="shared" si="334"/>
        <v>1</v>
      </c>
      <c r="AQ141" s="80"/>
      <c r="AR141" s="93"/>
      <c r="AS141" s="142"/>
      <c r="AT141" s="343">
        <v>151</v>
      </c>
      <c r="AU141" s="329">
        <f>+AT141/AK141</f>
        <v>1.5100000000000001E-4</v>
      </c>
      <c r="AV141" s="311"/>
      <c r="AW141" s="311"/>
      <c r="AX141" s="311"/>
      <c r="AY141" s="311"/>
      <c r="AZ141" s="311"/>
      <c r="BA141" s="311"/>
      <c r="BB141" s="311"/>
      <c r="BC141" s="328"/>
      <c r="BD141" s="317">
        <f>0+AK141</f>
        <v>1000000</v>
      </c>
      <c r="BE141" s="312">
        <f t="shared" ref="BE141:BE146" si="340">+AL141+AM141+AN141+AO141</f>
        <v>1000000</v>
      </c>
      <c r="BF141" s="328">
        <f t="shared" si="303"/>
        <v>1</v>
      </c>
      <c r="BG141" s="312">
        <f t="shared" ref="BG141:BG146" si="341">SUM(AQ141:AT141)+AX141+AZ141+BB141</f>
        <v>151</v>
      </c>
      <c r="BH141" s="328">
        <f t="shared" si="304"/>
        <v>1.5100000000000001E-4</v>
      </c>
      <c r="BI141" s="85"/>
      <c r="BJ141" s="254"/>
      <c r="BK141" s="254"/>
      <c r="BL141" s="351"/>
      <c r="BM141" s="143"/>
      <c r="BN141" s="143"/>
      <c r="BO141" s="144"/>
    </row>
    <row r="142" spans="1:67" ht="36" customHeight="1">
      <c r="A142" s="231" t="s">
        <v>825</v>
      </c>
      <c r="B142" s="241" t="s">
        <v>826</v>
      </c>
      <c r="C142" s="241" t="s">
        <v>241</v>
      </c>
      <c r="D142" s="64">
        <v>0</v>
      </c>
      <c r="E142" s="65">
        <v>1</v>
      </c>
      <c r="F142" s="220">
        <v>1</v>
      </c>
      <c r="G142" s="222">
        <v>1</v>
      </c>
      <c r="H142" s="64">
        <v>0</v>
      </c>
      <c r="I142" s="65">
        <v>1</v>
      </c>
      <c r="J142" s="67">
        <v>1</v>
      </c>
      <c r="K142" s="234">
        <v>1</v>
      </c>
      <c r="L142" s="68"/>
      <c r="M142" s="69"/>
      <c r="N142" s="69"/>
      <c r="O142" s="70">
        <v>1</v>
      </c>
      <c r="P142" s="70">
        <f t="shared" ref="P142:Q142" si="342">IF((I142+M142)/E142&gt;=100%,100%,(I142+M142)/E142)</f>
        <v>1</v>
      </c>
      <c r="Q142" s="70">
        <f t="shared" si="342"/>
        <v>1</v>
      </c>
      <c r="R142" s="70">
        <f t="shared" si="336"/>
        <v>1</v>
      </c>
      <c r="S142" s="258"/>
      <c r="T142" s="253" t="s">
        <v>827</v>
      </c>
      <c r="U142" s="270" t="s">
        <v>828</v>
      </c>
      <c r="V142" s="231" t="s">
        <v>829</v>
      </c>
      <c r="W142" s="256" t="s">
        <v>830</v>
      </c>
      <c r="X142" s="72">
        <v>45230</v>
      </c>
      <c r="Y142" s="73"/>
      <c r="Z142" s="73"/>
      <c r="AA142" s="85"/>
      <c r="AB142" s="138"/>
      <c r="AC142" s="89">
        <f t="shared" si="337"/>
        <v>3</v>
      </c>
      <c r="AD142" s="89">
        <f t="shared" si="338"/>
        <v>3</v>
      </c>
      <c r="AE142" s="84">
        <f t="shared" si="339"/>
        <v>1</v>
      </c>
      <c r="AF142" s="54">
        <f t="shared" si="307"/>
        <v>0.16664999999999999</v>
      </c>
      <c r="AG142" s="94">
        <v>0</v>
      </c>
      <c r="AH142" s="284">
        <v>0.14000000000000001</v>
      </c>
      <c r="AI142" s="84">
        <v>0.36</v>
      </c>
      <c r="AJ142" s="84">
        <v>0.1666</v>
      </c>
      <c r="AK142" s="301">
        <v>92267916</v>
      </c>
      <c r="AL142" s="301">
        <v>0</v>
      </c>
      <c r="AM142" s="301">
        <v>14009915</v>
      </c>
      <c r="AN142" s="301">
        <v>0</v>
      </c>
      <c r="AO142" s="301">
        <v>91695317</v>
      </c>
      <c r="AP142" s="79">
        <f t="shared" si="334"/>
        <v>0.99379417001246673</v>
      </c>
      <c r="AQ142" s="80"/>
      <c r="AR142" s="93"/>
      <c r="AS142" s="142"/>
      <c r="AT142" s="343">
        <v>37151300</v>
      </c>
      <c r="AU142" s="329">
        <f>+AT142/AK142</f>
        <v>0.4026459208204074</v>
      </c>
      <c r="AV142" s="311"/>
      <c r="AW142" s="311"/>
      <c r="AX142" s="311"/>
      <c r="AY142" s="311"/>
      <c r="AZ142" s="311"/>
      <c r="BA142" s="311"/>
      <c r="BB142" s="311"/>
      <c r="BC142" s="328"/>
      <c r="BD142" s="317">
        <f>22091479+AK142</f>
        <v>114359395</v>
      </c>
      <c r="BE142" s="312">
        <f t="shared" si="340"/>
        <v>105705232</v>
      </c>
      <c r="BF142" s="328">
        <f t="shared" si="303"/>
        <v>0.92432486198444819</v>
      </c>
      <c r="BG142" s="312">
        <f t="shared" si="341"/>
        <v>37151300</v>
      </c>
      <c r="BH142" s="328">
        <f t="shared" si="304"/>
        <v>0.32486443286972616</v>
      </c>
      <c r="BI142" s="85"/>
      <c r="BJ142" s="254" t="s">
        <v>71</v>
      </c>
      <c r="BK142" s="254" t="s">
        <v>83</v>
      </c>
      <c r="BL142" s="352" t="s">
        <v>543</v>
      </c>
      <c r="BM142" s="139"/>
      <c r="BN142" s="139"/>
      <c r="BO142" s="139"/>
    </row>
    <row r="143" spans="1:67" ht="41.25" customHeight="1">
      <c r="A143" s="231" t="s">
        <v>831</v>
      </c>
      <c r="B143" s="241" t="s">
        <v>832</v>
      </c>
      <c r="C143" s="241" t="s">
        <v>241</v>
      </c>
      <c r="D143" s="64">
        <v>1</v>
      </c>
      <c r="E143" s="65">
        <v>1</v>
      </c>
      <c r="F143" s="220">
        <v>1</v>
      </c>
      <c r="G143" s="222">
        <v>1</v>
      </c>
      <c r="H143" s="64">
        <v>1</v>
      </c>
      <c r="I143" s="65">
        <v>1</v>
      </c>
      <c r="J143" s="67">
        <v>1</v>
      </c>
      <c r="K143" s="234">
        <v>1</v>
      </c>
      <c r="L143" s="68"/>
      <c r="M143" s="69"/>
      <c r="N143" s="69"/>
      <c r="O143" s="70">
        <v>1</v>
      </c>
      <c r="P143" s="70">
        <f t="shared" ref="P143:Q143" si="343">IF((I143+M143)/E143&gt;=100%,100%,(I143+M143)/E143)</f>
        <v>1</v>
      </c>
      <c r="Q143" s="70">
        <f t="shared" si="343"/>
        <v>1</v>
      </c>
      <c r="R143" s="70">
        <f t="shared" si="336"/>
        <v>1</v>
      </c>
      <c r="S143" s="258" t="s">
        <v>833</v>
      </c>
      <c r="T143" s="253" t="s">
        <v>834</v>
      </c>
      <c r="U143" s="270" t="s">
        <v>835</v>
      </c>
      <c r="V143" s="231" t="s">
        <v>836</v>
      </c>
      <c r="W143" s="256" t="s">
        <v>837</v>
      </c>
      <c r="X143" s="72">
        <v>45230</v>
      </c>
      <c r="Y143" s="73"/>
      <c r="Z143" s="73"/>
      <c r="AA143" s="85"/>
      <c r="AB143" s="138"/>
      <c r="AC143" s="89">
        <f t="shared" si="337"/>
        <v>4</v>
      </c>
      <c r="AD143" s="89">
        <f t="shared" si="338"/>
        <v>4</v>
      </c>
      <c r="AE143" s="84">
        <f t="shared" si="339"/>
        <v>1</v>
      </c>
      <c r="AF143" s="54">
        <f t="shared" si="307"/>
        <v>0.51590000000000003</v>
      </c>
      <c r="AG143" s="94">
        <v>0.997</v>
      </c>
      <c r="AH143" s="284">
        <v>0.74</v>
      </c>
      <c r="AI143" s="84">
        <v>0.16</v>
      </c>
      <c r="AJ143" s="84">
        <v>0.1666</v>
      </c>
      <c r="AK143" s="301">
        <v>663215446</v>
      </c>
      <c r="AL143" s="301">
        <v>359975225</v>
      </c>
      <c r="AM143" s="301">
        <v>379385719</v>
      </c>
      <c r="AN143" s="301">
        <v>245498720</v>
      </c>
      <c r="AO143" s="301">
        <v>536530522</v>
      </c>
      <c r="AP143" s="79">
        <f t="shared" si="334"/>
        <v>0.80898375518232424</v>
      </c>
      <c r="AQ143" s="80"/>
      <c r="AR143" s="93"/>
      <c r="AS143" s="142"/>
      <c r="AT143" s="343">
        <v>108339474</v>
      </c>
      <c r="AU143" s="329">
        <f>+AT143/AK143</f>
        <v>0.16335487156310893</v>
      </c>
      <c r="AV143" s="311"/>
      <c r="AW143" s="311"/>
      <c r="AX143" s="311"/>
      <c r="AY143" s="311"/>
      <c r="AZ143" s="311"/>
      <c r="BA143" s="311"/>
      <c r="BB143" s="311"/>
      <c r="BC143" s="328"/>
      <c r="BD143" s="317">
        <f>1096594115+AK143</f>
        <v>1759809561</v>
      </c>
      <c r="BE143" s="312">
        <f t="shared" si="340"/>
        <v>1521390186</v>
      </c>
      <c r="BF143" s="328">
        <f t="shared" si="303"/>
        <v>0.86451978652478745</v>
      </c>
      <c r="BG143" s="312">
        <f t="shared" si="341"/>
        <v>108339474</v>
      </c>
      <c r="BH143" s="328">
        <f t="shared" si="304"/>
        <v>6.156318069918703E-2</v>
      </c>
      <c r="BI143" s="85"/>
      <c r="BJ143" s="254" t="s">
        <v>71</v>
      </c>
      <c r="BK143" s="254" t="s">
        <v>83</v>
      </c>
      <c r="BL143" s="352" t="s">
        <v>543</v>
      </c>
      <c r="BM143" s="139"/>
      <c r="BN143" s="139"/>
      <c r="BO143" s="139"/>
    </row>
    <row r="144" spans="1:67" ht="29.25" customHeight="1">
      <c r="A144" s="231" t="s">
        <v>838</v>
      </c>
      <c r="B144" s="241" t="s">
        <v>839</v>
      </c>
      <c r="C144" s="241" t="s">
        <v>241</v>
      </c>
      <c r="D144" s="64">
        <v>1</v>
      </c>
      <c r="E144" s="65">
        <v>1</v>
      </c>
      <c r="F144" s="220">
        <v>1</v>
      </c>
      <c r="G144" s="222">
        <v>1</v>
      </c>
      <c r="H144" s="64">
        <v>1</v>
      </c>
      <c r="I144" s="65">
        <v>1</v>
      </c>
      <c r="J144" s="67">
        <v>1</v>
      </c>
      <c r="K144" s="234">
        <v>1</v>
      </c>
      <c r="L144" s="68"/>
      <c r="M144" s="69"/>
      <c r="N144" s="69"/>
      <c r="O144" s="70">
        <f t="shared" ref="O144:Q144" si="344">IF((H144+L144)/D144&gt;=100%,100%,(H144+L144)/D144)</f>
        <v>1</v>
      </c>
      <c r="P144" s="70">
        <f t="shared" si="344"/>
        <v>1</v>
      </c>
      <c r="Q144" s="70">
        <f t="shared" si="344"/>
        <v>1</v>
      </c>
      <c r="R144" s="70">
        <f t="shared" si="336"/>
        <v>1</v>
      </c>
      <c r="S144" s="258" t="s">
        <v>840</v>
      </c>
      <c r="T144" s="253" t="s">
        <v>841</v>
      </c>
      <c r="U144" s="270" t="s">
        <v>842</v>
      </c>
      <c r="V144" s="231" t="s">
        <v>843</v>
      </c>
      <c r="W144" s="256" t="s">
        <v>844</v>
      </c>
      <c r="X144" s="72">
        <v>45230</v>
      </c>
      <c r="Y144" s="73"/>
      <c r="Z144" s="73"/>
      <c r="AA144" s="85"/>
      <c r="AB144" s="138"/>
      <c r="AC144" s="89">
        <f t="shared" si="337"/>
        <v>4</v>
      </c>
      <c r="AD144" s="89">
        <f t="shared" si="338"/>
        <v>4</v>
      </c>
      <c r="AE144" s="84">
        <f t="shared" si="339"/>
        <v>1</v>
      </c>
      <c r="AF144" s="54">
        <f t="shared" si="307"/>
        <v>8.165E-2</v>
      </c>
      <c r="AG144" s="94">
        <v>0</v>
      </c>
      <c r="AH144" s="284">
        <v>0</v>
      </c>
      <c r="AI144" s="84">
        <v>0.16</v>
      </c>
      <c r="AJ144" s="84">
        <v>0.1666</v>
      </c>
      <c r="AK144" s="301">
        <v>0</v>
      </c>
      <c r="AL144" s="301">
        <v>0</v>
      </c>
      <c r="AM144" s="301">
        <v>0</v>
      </c>
      <c r="AN144" s="301">
        <v>0</v>
      </c>
      <c r="AO144" s="301">
        <v>0</v>
      </c>
      <c r="AP144" s="79">
        <v>0</v>
      </c>
      <c r="AQ144" s="80"/>
      <c r="AR144" s="93"/>
      <c r="AS144" s="142"/>
      <c r="AT144" s="344">
        <v>0</v>
      </c>
      <c r="AU144" s="329">
        <v>0</v>
      </c>
      <c r="AV144" s="311"/>
      <c r="AW144" s="311"/>
      <c r="AX144" s="311"/>
      <c r="AY144" s="311"/>
      <c r="AZ144" s="311"/>
      <c r="BA144" s="311"/>
      <c r="BB144" s="311"/>
      <c r="BC144" s="328"/>
      <c r="BD144" s="317">
        <f>0+AK144</f>
        <v>0</v>
      </c>
      <c r="BE144" s="312">
        <f t="shared" si="340"/>
        <v>0</v>
      </c>
      <c r="BF144" s="328">
        <v>0</v>
      </c>
      <c r="BG144" s="312">
        <f t="shared" si="341"/>
        <v>0</v>
      </c>
      <c r="BH144" s="328" t="e">
        <f t="shared" si="304"/>
        <v>#DIV/0!</v>
      </c>
      <c r="BI144" s="85"/>
      <c r="BJ144" s="254" t="s">
        <v>71</v>
      </c>
      <c r="BK144" s="254" t="s">
        <v>99</v>
      </c>
      <c r="BL144" s="231" t="s">
        <v>230</v>
      </c>
      <c r="BM144" s="139"/>
      <c r="BN144" s="139"/>
      <c r="BO144" s="139"/>
    </row>
    <row r="145" spans="1:67" ht="37.5" customHeight="1">
      <c r="A145" s="231" t="s">
        <v>845</v>
      </c>
      <c r="B145" s="241" t="s">
        <v>846</v>
      </c>
      <c r="C145" s="241" t="s">
        <v>241</v>
      </c>
      <c r="D145" s="64">
        <v>0</v>
      </c>
      <c r="E145" s="65">
        <v>1</v>
      </c>
      <c r="F145" s="220">
        <v>1</v>
      </c>
      <c r="G145" s="222">
        <v>1</v>
      </c>
      <c r="H145" s="64">
        <v>0</v>
      </c>
      <c r="I145" s="65">
        <v>1</v>
      </c>
      <c r="J145" s="67">
        <v>1</v>
      </c>
      <c r="K145" s="234">
        <v>1</v>
      </c>
      <c r="L145" s="68"/>
      <c r="M145" s="69"/>
      <c r="N145" s="69"/>
      <c r="O145" s="70">
        <v>0</v>
      </c>
      <c r="P145" s="70">
        <f t="shared" ref="P145:Q145" si="345">IF((I145+M145)/E145&gt;=100%,100%,(I145+M145)/E145)</f>
        <v>1</v>
      </c>
      <c r="Q145" s="70">
        <f t="shared" si="345"/>
        <v>1</v>
      </c>
      <c r="R145" s="70">
        <f t="shared" si="336"/>
        <v>1</v>
      </c>
      <c r="S145" s="258"/>
      <c r="T145" s="253" t="s">
        <v>529</v>
      </c>
      <c r="U145" s="270" t="s">
        <v>847</v>
      </c>
      <c r="V145" s="231" t="s">
        <v>848</v>
      </c>
      <c r="W145" s="256" t="s">
        <v>849</v>
      </c>
      <c r="X145" s="72">
        <v>45230</v>
      </c>
      <c r="Y145" s="73"/>
      <c r="Z145" s="73"/>
      <c r="AA145" s="85"/>
      <c r="AB145" s="138"/>
      <c r="AC145" s="89">
        <f t="shared" si="337"/>
        <v>3</v>
      </c>
      <c r="AD145" s="89">
        <f t="shared" si="338"/>
        <v>3</v>
      </c>
      <c r="AE145" s="84">
        <f t="shared" si="339"/>
        <v>1</v>
      </c>
      <c r="AF145" s="54">
        <f t="shared" si="307"/>
        <v>8.165E-2</v>
      </c>
      <c r="AG145" s="94">
        <v>0</v>
      </c>
      <c r="AH145" s="284">
        <v>0</v>
      </c>
      <c r="AI145" s="84">
        <v>0.16</v>
      </c>
      <c r="AJ145" s="84">
        <v>0.1666</v>
      </c>
      <c r="AK145" s="301">
        <v>0</v>
      </c>
      <c r="AL145" s="301">
        <v>0</v>
      </c>
      <c r="AM145" s="301">
        <v>0</v>
      </c>
      <c r="AN145" s="301">
        <v>0</v>
      </c>
      <c r="AO145" s="301">
        <v>0</v>
      </c>
      <c r="AP145" s="79">
        <v>0</v>
      </c>
      <c r="AQ145" s="80"/>
      <c r="AR145" s="93"/>
      <c r="AS145" s="142"/>
      <c r="AT145" s="344">
        <v>0</v>
      </c>
      <c r="AU145" s="329">
        <v>0</v>
      </c>
      <c r="AV145" s="311"/>
      <c r="AW145" s="311"/>
      <c r="AX145" s="311"/>
      <c r="AY145" s="311"/>
      <c r="AZ145" s="311"/>
      <c r="BA145" s="311"/>
      <c r="BB145" s="311"/>
      <c r="BC145" s="328"/>
      <c r="BD145" s="317">
        <f>0+AK145</f>
        <v>0</v>
      </c>
      <c r="BE145" s="312">
        <f t="shared" si="340"/>
        <v>0</v>
      </c>
      <c r="BF145" s="328">
        <v>0</v>
      </c>
      <c r="BG145" s="312">
        <f t="shared" si="341"/>
        <v>0</v>
      </c>
      <c r="BH145" s="328" t="e">
        <f t="shared" si="304"/>
        <v>#DIV/0!</v>
      </c>
      <c r="BI145" s="85"/>
      <c r="BJ145" s="254" t="s">
        <v>71</v>
      </c>
      <c r="BK145" s="254" t="s">
        <v>83</v>
      </c>
      <c r="BL145" s="231" t="s">
        <v>230</v>
      </c>
      <c r="BM145" s="139"/>
      <c r="BN145" s="139"/>
      <c r="BO145" s="139"/>
    </row>
    <row r="146" spans="1:67" ht="34.5" customHeight="1">
      <c r="A146" s="231" t="s">
        <v>850</v>
      </c>
      <c r="B146" s="241" t="s">
        <v>851</v>
      </c>
      <c r="C146" s="241" t="s">
        <v>241</v>
      </c>
      <c r="D146" s="64">
        <v>1</v>
      </c>
      <c r="E146" s="65">
        <v>1</v>
      </c>
      <c r="F146" s="220">
        <v>1</v>
      </c>
      <c r="G146" s="222">
        <v>1</v>
      </c>
      <c r="H146" s="64">
        <v>1</v>
      </c>
      <c r="I146" s="65">
        <v>1</v>
      </c>
      <c r="J146" s="67">
        <v>1</v>
      </c>
      <c r="K146" s="234">
        <v>1</v>
      </c>
      <c r="L146" s="68"/>
      <c r="M146" s="69"/>
      <c r="N146" s="69"/>
      <c r="O146" s="70">
        <f t="shared" ref="O146:Q146" si="346">IF((H146+L146)/D146&gt;=100%,100%,(H146+L146)/D146)</f>
        <v>1</v>
      </c>
      <c r="P146" s="70">
        <f t="shared" si="346"/>
        <v>1</v>
      </c>
      <c r="Q146" s="70">
        <f t="shared" si="346"/>
        <v>1</v>
      </c>
      <c r="R146" s="70">
        <f t="shared" si="336"/>
        <v>1</v>
      </c>
      <c r="S146" s="258"/>
      <c r="T146" s="253" t="s">
        <v>852</v>
      </c>
      <c r="U146" s="270" t="s">
        <v>853</v>
      </c>
      <c r="V146" s="231" t="s">
        <v>854</v>
      </c>
      <c r="W146" s="256" t="s">
        <v>855</v>
      </c>
      <c r="X146" s="72">
        <v>45230</v>
      </c>
      <c r="Y146" s="73"/>
      <c r="Z146" s="73"/>
      <c r="AA146" s="85"/>
      <c r="AB146" s="138"/>
      <c r="AC146" s="89">
        <f t="shared" si="337"/>
        <v>4</v>
      </c>
      <c r="AD146" s="89">
        <f t="shared" si="338"/>
        <v>4</v>
      </c>
      <c r="AE146" s="84">
        <f t="shared" si="339"/>
        <v>1</v>
      </c>
      <c r="AF146" s="54">
        <f t="shared" si="307"/>
        <v>0.10735</v>
      </c>
      <c r="AG146" s="94">
        <v>2.8E-3</v>
      </c>
      <c r="AH146" s="284">
        <v>0.1</v>
      </c>
      <c r="AI146" s="84">
        <v>0.16</v>
      </c>
      <c r="AJ146" s="84">
        <v>0.1666</v>
      </c>
      <c r="AK146" s="301">
        <v>30000000</v>
      </c>
      <c r="AL146" s="301">
        <v>19096694</v>
      </c>
      <c r="AM146" s="301">
        <v>38808302</v>
      </c>
      <c r="AN146" s="301">
        <v>99938130</v>
      </c>
      <c r="AO146" s="301">
        <v>30000000</v>
      </c>
      <c r="AP146" s="79">
        <f>+AO146/AK146</f>
        <v>1</v>
      </c>
      <c r="AQ146" s="80"/>
      <c r="AR146" s="93"/>
      <c r="AS146" s="142"/>
      <c r="AT146" s="343">
        <v>20250000</v>
      </c>
      <c r="AU146" s="329">
        <f>+AT146/AK146</f>
        <v>0.67500000000000004</v>
      </c>
      <c r="AV146" s="311"/>
      <c r="AW146" s="311"/>
      <c r="AX146" s="311"/>
      <c r="AY146" s="311"/>
      <c r="AZ146" s="311"/>
      <c r="BA146" s="311"/>
      <c r="BB146" s="311"/>
      <c r="BC146" s="328"/>
      <c r="BD146" s="317">
        <f>159096694+AK146</f>
        <v>189096694</v>
      </c>
      <c r="BE146" s="312">
        <f t="shared" si="340"/>
        <v>187843126</v>
      </c>
      <c r="BF146" s="328">
        <f>+BE146/BD146</f>
        <v>0.9933707566563803</v>
      </c>
      <c r="BG146" s="312">
        <f t="shared" si="341"/>
        <v>20250000</v>
      </c>
      <c r="BH146" s="328">
        <f t="shared" si="304"/>
        <v>0.10708806997968986</v>
      </c>
      <c r="BI146" s="85"/>
      <c r="BJ146" s="254" t="s">
        <v>81</v>
      </c>
      <c r="BK146" s="254" t="s">
        <v>83</v>
      </c>
      <c r="BL146" s="231" t="s">
        <v>230</v>
      </c>
      <c r="BM146" s="139"/>
      <c r="BN146" s="139"/>
      <c r="BO146" s="139"/>
    </row>
    <row r="147" spans="1:67" ht="20.100000000000001" customHeight="1">
      <c r="A147" s="31" t="s">
        <v>856</v>
      </c>
      <c r="B147" s="32"/>
      <c r="C147" s="133"/>
      <c r="D147" s="133"/>
      <c r="E147" s="134"/>
      <c r="F147" s="134"/>
      <c r="G147" s="34"/>
      <c r="H147" s="134"/>
      <c r="I147" s="134"/>
      <c r="J147" s="34"/>
      <c r="K147" s="134"/>
      <c r="L147" s="134"/>
      <c r="M147" s="34"/>
      <c r="N147" s="34"/>
      <c r="O147" s="36"/>
      <c r="P147" s="36"/>
      <c r="Q147" s="36"/>
      <c r="R147" s="35"/>
      <c r="S147" s="262"/>
      <c r="T147" s="262"/>
      <c r="U147" s="262"/>
      <c r="V147" s="262"/>
      <c r="W147" s="262"/>
      <c r="X147" s="32"/>
      <c r="Y147" s="36"/>
      <c r="Z147" s="36"/>
      <c r="AA147" s="36"/>
      <c r="AB147" s="32"/>
      <c r="AC147" s="135"/>
      <c r="AD147" s="136"/>
      <c r="AE147" s="35"/>
      <c r="AF147" s="35"/>
      <c r="AG147" s="35"/>
      <c r="AH147" s="286"/>
      <c r="AI147" s="35"/>
      <c r="AJ147" s="35"/>
      <c r="AK147" s="302"/>
      <c r="AL147" s="302"/>
      <c r="AM147" s="302"/>
      <c r="AN147" s="302"/>
      <c r="AO147" s="302"/>
      <c r="AP147" s="40"/>
      <c r="AQ147" s="39"/>
      <c r="AR147" s="39"/>
      <c r="AS147" s="39"/>
      <c r="AT147" s="335"/>
      <c r="AU147" s="339"/>
      <c r="AV147" s="316"/>
      <c r="AW147" s="316"/>
      <c r="AX147" s="316"/>
      <c r="AY147" s="316"/>
      <c r="AZ147" s="316"/>
      <c r="BA147" s="316"/>
      <c r="BB147" s="316"/>
      <c r="BC147" s="338"/>
      <c r="BD147" s="298"/>
      <c r="BE147" s="298"/>
      <c r="BF147" s="338"/>
      <c r="BG147" s="298"/>
      <c r="BH147" s="338"/>
      <c r="BI147" s="33"/>
      <c r="BJ147" s="355"/>
      <c r="BK147" s="355"/>
      <c r="BL147" s="348"/>
      <c r="BM147" s="10"/>
      <c r="BN147" s="10"/>
      <c r="BO147" s="10"/>
    </row>
    <row r="148" spans="1:67" ht="30" customHeight="1">
      <c r="A148" s="114" t="s">
        <v>857</v>
      </c>
      <c r="B148" s="43"/>
      <c r="C148" s="44"/>
      <c r="D148" s="49"/>
      <c r="E148" s="46"/>
      <c r="F148" s="46"/>
      <c r="G148" s="46"/>
      <c r="H148" s="46"/>
      <c r="I148" s="46"/>
      <c r="J148" s="46"/>
      <c r="K148" s="46"/>
      <c r="L148" s="46"/>
      <c r="M148" s="46"/>
      <c r="N148" s="46"/>
      <c r="O148" s="47">
        <f>+(O150*AG150)+(O155*AG155)</f>
        <v>1.0030000000000001</v>
      </c>
      <c r="P148" s="47">
        <f>+(P150*AH150)+(P155*AH155)</f>
        <v>0.9740000000000002</v>
      </c>
      <c r="Q148" s="47">
        <f>+(Q150*AI150)+(Q155*AI155)</f>
        <v>0.98674839999999997</v>
      </c>
      <c r="R148" s="47">
        <f>+(R150*AJ150)+(R155*AJ155)</f>
        <v>0.93433772999999998</v>
      </c>
      <c r="S148" s="263"/>
      <c r="T148" s="263"/>
      <c r="U148" s="263"/>
      <c r="V148" s="263"/>
      <c r="W148" s="263"/>
      <c r="X148" s="106"/>
      <c r="Y148" s="49"/>
      <c r="Z148" s="49"/>
      <c r="AA148" s="49"/>
      <c r="AB148" s="106"/>
      <c r="AC148" s="126"/>
      <c r="AD148" s="108"/>
      <c r="AE148" s="50">
        <f>+AE149</f>
        <v>0.97263143833333321</v>
      </c>
      <c r="AF148" s="47"/>
      <c r="AG148" s="47"/>
      <c r="AH148" s="248"/>
      <c r="AI148" s="47"/>
      <c r="AJ148" s="47"/>
      <c r="AK148" s="303">
        <f t="shared" ref="AK148:AO148" si="347">+AK150+AK155</f>
        <v>7495494648</v>
      </c>
      <c r="AL148" s="303">
        <f t="shared" si="347"/>
        <v>5918012593</v>
      </c>
      <c r="AM148" s="303">
        <f t="shared" si="347"/>
        <v>5208346830</v>
      </c>
      <c r="AN148" s="303">
        <f t="shared" si="347"/>
        <v>5341576976</v>
      </c>
      <c r="AO148" s="303">
        <f t="shared" si="347"/>
        <v>5638649022</v>
      </c>
      <c r="AP148" s="50">
        <f t="shared" ref="AP148:AP158" si="348">+AO148/AK148</f>
        <v>0.75227176948282437</v>
      </c>
      <c r="AQ148" s="51">
        <f t="shared" ref="AQ148:AS148" si="349">+AQ150</f>
        <v>0</v>
      </c>
      <c r="AR148" s="51">
        <f t="shared" si="349"/>
        <v>0</v>
      </c>
      <c r="AS148" s="51">
        <f t="shared" si="349"/>
        <v>0</v>
      </c>
      <c r="AT148" s="319">
        <f>+AT149</f>
        <v>4250844382</v>
      </c>
      <c r="AU148" s="341">
        <f t="shared" ref="AU148:AU154" si="350">+AT148/AK148</f>
        <v>0.56711992758666563</v>
      </c>
      <c r="AV148" s="308">
        <f t="shared" ref="AV148:BB148" si="351">+AV150</f>
        <v>0</v>
      </c>
      <c r="AW148" s="308">
        <f t="shared" si="351"/>
        <v>0</v>
      </c>
      <c r="AX148" s="308">
        <f t="shared" si="351"/>
        <v>0</v>
      </c>
      <c r="AY148" s="308">
        <f t="shared" si="351"/>
        <v>0</v>
      </c>
      <c r="AZ148" s="308">
        <f t="shared" si="351"/>
        <v>0</v>
      </c>
      <c r="BA148" s="308">
        <f t="shared" si="351"/>
        <v>0</v>
      </c>
      <c r="BB148" s="308">
        <f t="shared" si="351"/>
        <v>0</v>
      </c>
      <c r="BC148" s="322" t="e">
        <f>+BB148/BA148</f>
        <v>#DIV/0!</v>
      </c>
      <c r="BD148" s="299">
        <f t="shared" ref="BD148:BE148" si="352">+BD150+BD155</f>
        <v>25530024142</v>
      </c>
      <c r="BE148" s="299">
        <f t="shared" si="352"/>
        <v>22106585421</v>
      </c>
      <c r="BF148" s="322">
        <f t="shared" ref="BF148:BF158" si="353">+BE148/BD148</f>
        <v>0.86590538645954407</v>
      </c>
      <c r="BG148" s="299">
        <f>BG150+BG155</f>
        <v>4250844382</v>
      </c>
      <c r="BH148" s="322">
        <f t="shared" ref="BH148:BH158" si="354">+BG148/BD148</f>
        <v>0.16650373530226487</v>
      </c>
      <c r="BI148" s="49"/>
      <c r="BJ148" s="254" t="s">
        <v>81</v>
      </c>
      <c r="BK148" s="254" t="s">
        <v>83</v>
      </c>
      <c r="BL148" s="279" t="s">
        <v>230</v>
      </c>
      <c r="BM148" s="10"/>
      <c r="BN148" s="10"/>
      <c r="BO148" s="10"/>
    </row>
    <row r="149" spans="1:67" ht="30" customHeight="1">
      <c r="A149" s="116" t="s">
        <v>858</v>
      </c>
      <c r="B149" s="43"/>
      <c r="C149" s="44"/>
      <c r="D149" s="49"/>
      <c r="E149" s="46"/>
      <c r="F149" s="46"/>
      <c r="G149" s="46"/>
      <c r="H149" s="46"/>
      <c r="I149" s="46"/>
      <c r="J149" s="46"/>
      <c r="K149" s="46"/>
      <c r="L149" s="46"/>
      <c r="M149" s="46"/>
      <c r="N149" s="46"/>
      <c r="O149" s="47">
        <f>+(O150*AG150)+(O155*AG155)</f>
        <v>1.0030000000000001</v>
      </c>
      <c r="P149" s="47">
        <f>+(P150*AH150)+(P155*AH155)</f>
        <v>0.9740000000000002</v>
      </c>
      <c r="Q149" s="47">
        <f>+(Q150*AI150)+(Q155*AI155)</f>
        <v>0.98674839999999997</v>
      </c>
      <c r="R149" s="47">
        <f>+(R150*AJ150)+(R155*AJ155)</f>
        <v>0.93433772999999998</v>
      </c>
      <c r="S149" s="263"/>
      <c r="T149" s="263"/>
      <c r="U149" s="263"/>
      <c r="V149" s="263"/>
      <c r="W149" s="263"/>
      <c r="X149" s="106"/>
      <c r="Y149" s="49"/>
      <c r="Z149" s="49"/>
      <c r="AA149" s="49"/>
      <c r="AB149" s="106"/>
      <c r="AC149" s="126"/>
      <c r="AD149" s="108"/>
      <c r="AE149" s="50">
        <f>+(AE150*AF150)+(AE155*AF155)</f>
        <v>0.97263143833333321</v>
      </c>
      <c r="AF149" s="47"/>
      <c r="AG149" s="47"/>
      <c r="AH149" s="248"/>
      <c r="AI149" s="47"/>
      <c r="AJ149" s="47"/>
      <c r="AK149" s="303">
        <f t="shared" ref="AK149:AO149" si="355">+AK150+AK155</f>
        <v>7495494648</v>
      </c>
      <c r="AL149" s="303">
        <f t="shared" si="355"/>
        <v>5918012593</v>
      </c>
      <c r="AM149" s="303">
        <f t="shared" si="355"/>
        <v>5208346830</v>
      </c>
      <c r="AN149" s="303">
        <f t="shared" si="355"/>
        <v>5341576976</v>
      </c>
      <c r="AO149" s="303">
        <f t="shared" si="355"/>
        <v>5638649022</v>
      </c>
      <c r="AP149" s="50">
        <f t="shared" si="348"/>
        <v>0.75227176948282437</v>
      </c>
      <c r="AQ149" s="51"/>
      <c r="AR149" s="51"/>
      <c r="AS149" s="51"/>
      <c r="AT149" s="319">
        <f>+AT150+AT155</f>
        <v>4250844382</v>
      </c>
      <c r="AU149" s="341">
        <f t="shared" si="350"/>
        <v>0.56711992758666563</v>
      </c>
      <c r="AV149" s="308"/>
      <c r="AW149" s="308"/>
      <c r="AX149" s="308"/>
      <c r="AY149" s="308"/>
      <c r="AZ149" s="308"/>
      <c r="BA149" s="308"/>
      <c r="BB149" s="308"/>
      <c r="BC149" s="322"/>
      <c r="BD149" s="299">
        <f t="shared" ref="BD149:BE149" si="356">+BD150+BD155</f>
        <v>25530024142</v>
      </c>
      <c r="BE149" s="299">
        <f t="shared" si="356"/>
        <v>22106585421</v>
      </c>
      <c r="BF149" s="322">
        <f t="shared" si="353"/>
        <v>0.86590538645954407</v>
      </c>
      <c r="BG149" s="299">
        <f>BG150+BG155</f>
        <v>4250844382</v>
      </c>
      <c r="BH149" s="322">
        <f t="shared" si="354"/>
        <v>0.16650373530226487</v>
      </c>
      <c r="BI149" s="49"/>
      <c r="BJ149" s="254" t="s">
        <v>81</v>
      </c>
      <c r="BK149" s="254" t="s">
        <v>83</v>
      </c>
      <c r="BL149" s="279" t="s">
        <v>230</v>
      </c>
      <c r="BM149" s="137"/>
      <c r="BN149" s="137"/>
      <c r="BO149" s="137"/>
    </row>
    <row r="150" spans="1:67" ht="20.100000000000001" customHeight="1">
      <c r="A150" s="195" t="s">
        <v>859</v>
      </c>
      <c r="B150" s="53"/>
      <c r="C150" s="53"/>
      <c r="D150" s="53"/>
      <c r="E150" s="53"/>
      <c r="F150" s="53"/>
      <c r="G150" s="53"/>
      <c r="H150" s="53"/>
      <c r="I150" s="53"/>
      <c r="J150" s="53"/>
      <c r="K150" s="53"/>
      <c r="L150" s="53"/>
      <c r="M150" s="53"/>
      <c r="N150" s="53"/>
      <c r="O150" s="54">
        <f>+SUMPRODUCT(O151:O154,AG151:AG154)</f>
        <v>1.004</v>
      </c>
      <c r="P150" s="54">
        <f>+SUMPRODUCT(P151:P154,AH151:AH154)</f>
        <v>0.98550000000000015</v>
      </c>
      <c r="Q150" s="54">
        <f>+SUMPRODUCT(Q151:Q154,AI151:AI154)</f>
        <v>0.98950000000000005</v>
      </c>
      <c r="R150" s="54">
        <f>+SUMPRODUCT(R151:R154,AJ151:AJ154)</f>
        <v>0.94972500000000004</v>
      </c>
      <c r="S150" s="259"/>
      <c r="T150" s="259"/>
      <c r="U150" s="259"/>
      <c r="V150" s="259"/>
      <c r="W150" s="259"/>
      <c r="X150" s="55"/>
      <c r="Y150" s="56"/>
      <c r="Z150" s="56"/>
      <c r="AA150" s="56"/>
      <c r="AB150" s="55"/>
      <c r="AC150" s="19"/>
      <c r="AD150" s="57"/>
      <c r="AE150" s="54">
        <f>+SUMPRODUCT(AE151:AE154,AF151:AF154)</f>
        <v>0.97846291666666663</v>
      </c>
      <c r="AF150" s="54">
        <f t="shared" ref="AF150:AF158" si="357">SUM(AG150:AJ150)/4</f>
        <v>0.5</v>
      </c>
      <c r="AG150" s="54">
        <v>0.5</v>
      </c>
      <c r="AH150" s="249">
        <v>0.5</v>
      </c>
      <c r="AI150" s="54">
        <v>0.5</v>
      </c>
      <c r="AJ150" s="54">
        <v>0.5</v>
      </c>
      <c r="AK150" s="296">
        <f>SUM(AK151:AK154)</f>
        <v>7271401148</v>
      </c>
      <c r="AL150" s="296">
        <f t="shared" ref="AL150:AO150" si="358">SUM(AL151:AL154)</f>
        <v>5748122473</v>
      </c>
      <c r="AM150" s="296">
        <f t="shared" si="358"/>
        <v>4935572338</v>
      </c>
      <c r="AN150" s="296">
        <f t="shared" si="358"/>
        <v>5089877735</v>
      </c>
      <c r="AO150" s="296">
        <f t="shared" si="358"/>
        <v>5502621199</v>
      </c>
      <c r="AP150" s="60">
        <f t="shared" si="348"/>
        <v>0.75674840199312854</v>
      </c>
      <c r="AQ150" s="58">
        <f t="shared" ref="AQ150:AS150" si="359">SUM(AQ151:AQ176)</f>
        <v>0</v>
      </c>
      <c r="AR150" s="58">
        <f t="shared" si="359"/>
        <v>0</v>
      </c>
      <c r="AS150" s="58">
        <f t="shared" si="359"/>
        <v>0</v>
      </c>
      <c r="AT150" s="323">
        <f>+SUM(AT151:AT154)</f>
        <v>4121632140</v>
      </c>
      <c r="AU150" s="331">
        <f t="shared" si="350"/>
        <v>0.5668277758453274</v>
      </c>
      <c r="AV150" s="310">
        <f t="shared" ref="AV150:BB150" si="360">SUM(AV151:AV176)</f>
        <v>0</v>
      </c>
      <c r="AW150" s="310">
        <f t="shared" si="360"/>
        <v>0</v>
      </c>
      <c r="AX150" s="310">
        <f t="shared" si="360"/>
        <v>0</v>
      </c>
      <c r="AY150" s="310">
        <f t="shared" si="360"/>
        <v>0</v>
      </c>
      <c r="AZ150" s="310">
        <f t="shared" si="360"/>
        <v>0</v>
      </c>
      <c r="BA150" s="310">
        <f t="shared" si="360"/>
        <v>0</v>
      </c>
      <c r="BB150" s="310">
        <f t="shared" si="360"/>
        <v>0</v>
      </c>
      <c r="BC150" s="325" t="e">
        <f t="shared" ref="BC150:BC153" si="361">+BB150/BA150</f>
        <v>#DIV/0!</v>
      </c>
      <c r="BD150" s="300">
        <f t="shared" ref="BD150:BE150" si="362">SUM(BD151:BD154)</f>
        <v>24383897945</v>
      </c>
      <c r="BE150" s="300">
        <f t="shared" si="362"/>
        <v>21276193745</v>
      </c>
      <c r="BF150" s="325">
        <f t="shared" si="353"/>
        <v>0.8725509675684463</v>
      </c>
      <c r="BG150" s="300">
        <f>SUM(BG151:BG154)</f>
        <v>4121632140</v>
      </c>
      <c r="BH150" s="325">
        <f t="shared" si="354"/>
        <v>0.16903089691798659</v>
      </c>
      <c r="BI150" s="56"/>
      <c r="BJ150" s="254" t="s">
        <v>81</v>
      </c>
      <c r="BK150" s="254" t="s">
        <v>83</v>
      </c>
      <c r="BL150" s="279" t="s">
        <v>230</v>
      </c>
      <c r="BM150" s="137"/>
      <c r="BN150" s="137"/>
      <c r="BO150" s="137"/>
    </row>
    <row r="151" spans="1:67" ht="20.100000000000001" customHeight="1">
      <c r="A151" s="231" t="s">
        <v>228</v>
      </c>
      <c r="B151" s="231"/>
      <c r="C151" s="241" t="s">
        <v>229</v>
      </c>
      <c r="D151" s="64">
        <v>0</v>
      </c>
      <c r="E151" s="65">
        <v>100</v>
      </c>
      <c r="F151" s="220">
        <v>100</v>
      </c>
      <c r="G151" s="66">
        <v>100</v>
      </c>
      <c r="H151" s="64">
        <v>0</v>
      </c>
      <c r="I151" s="65">
        <v>99</v>
      </c>
      <c r="J151" s="67">
        <v>95.8</v>
      </c>
      <c r="K151" s="233">
        <v>79.89</v>
      </c>
      <c r="L151" s="68"/>
      <c r="M151" s="69"/>
      <c r="N151" s="69"/>
      <c r="O151" s="70">
        <v>0</v>
      </c>
      <c r="P151" s="71">
        <f t="shared" ref="P151:Q151" si="363">IF((I151+M151)/E151&gt;=100%,100%,(I151+M151)/E151)</f>
        <v>0.99</v>
      </c>
      <c r="Q151" s="71">
        <f t="shared" si="363"/>
        <v>0.95799999999999996</v>
      </c>
      <c r="R151" s="70">
        <f t="shared" ref="R151:R154" si="364">IF(K151/G151&gt;=100%,100%,K151/G151)</f>
        <v>0.79890000000000005</v>
      </c>
      <c r="S151" s="274"/>
      <c r="T151" s="274"/>
      <c r="U151" s="274"/>
      <c r="V151" s="231"/>
      <c r="W151" s="231"/>
      <c r="X151" s="72">
        <v>45230</v>
      </c>
      <c r="Y151" s="73"/>
      <c r="Z151" s="63"/>
      <c r="AA151" s="74"/>
      <c r="AB151" s="118"/>
      <c r="AC151" s="76">
        <f t="shared" ref="AC151:AC154" si="365">SUM(D151:G151)</f>
        <v>300</v>
      </c>
      <c r="AD151" s="76">
        <f t="shared" ref="AD151:AD154" si="366">SUM(H151:N151)</f>
        <v>274.69</v>
      </c>
      <c r="AE151" s="70">
        <f t="shared" ref="AE151:AE154" si="367">IF(AD151/AC151&gt;=100%,100%,AD151/AC151)</f>
        <v>0.9156333333333333</v>
      </c>
      <c r="AF151" s="54">
        <f t="shared" si="357"/>
        <v>0.23749999999999999</v>
      </c>
      <c r="AG151" s="77">
        <v>0</v>
      </c>
      <c r="AH151" s="289">
        <v>0.45</v>
      </c>
      <c r="AI151" s="70">
        <v>0.25</v>
      </c>
      <c r="AJ151" s="70">
        <v>0.25</v>
      </c>
      <c r="AK151" s="356">
        <v>4354027560</v>
      </c>
      <c r="AL151" s="301">
        <v>0</v>
      </c>
      <c r="AM151" s="301">
        <v>2156730729</v>
      </c>
      <c r="AN151" s="301">
        <v>3645448090</v>
      </c>
      <c r="AO151" s="301">
        <v>3478568498</v>
      </c>
      <c r="AP151" s="79">
        <f t="shared" si="348"/>
        <v>0.79893120795955641</v>
      </c>
      <c r="AQ151" s="80"/>
      <c r="AR151" s="81"/>
      <c r="AS151" s="83"/>
      <c r="AT151" s="343">
        <v>2964675938</v>
      </c>
      <c r="AU151" s="329">
        <f t="shared" si="350"/>
        <v>0.6809042655669364</v>
      </c>
      <c r="AV151" s="311"/>
      <c r="AW151" s="311"/>
      <c r="AX151" s="311"/>
      <c r="AY151" s="311"/>
      <c r="AZ151" s="311"/>
      <c r="BA151" s="311"/>
      <c r="BB151" s="311"/>
      <c r="BC151" s="328" t="e">
        <f t="shared" si="361"/>
        <v>#DIV/0!</v>
      </c>
      <c r="BD151" s="317">
        <f>5970331123+AK151</f>
        <v>10324358683</v>
      </c>
      <c r="BE151" s="312">
        <f>+AL151+AM151+AN151+AO151</f>
        <v>9280747317</v>
      </c>
      <c r="BF151" s="328">
        <f t="shared" si="353"/>
        <v>0.89891756010778645</v>
      </c>
      <c r="BG151" s="312">
        <f>SUM(AQ151:AT151)+AX151+AZ151+BB151</f>
        <v>2964675938</v>
      </c>
      <c r="BH151" s="328">
        <f t="shared" si="354"/>
        <v>0.28715352004203515</v>
      </c>
      <c r="BI151" s="85"/>
      <c r="BJ151" s="254" t="s">
        <v>81</v>
      </c>
      <c r="BK151" s="254" t="s">
        <v>83</v>
      </c>
      <c r="BL151" s="279" t="s">
        <v>230</v>
      </c>
      <c r="BM151" s="137"/>
      <c r="BN151" s="137"/>
      <c r="BO151" s="137"/>
    </row>
    <row r="152" spans="1:67" ht="38.25" customHeight="1">
      <c r="A152" s="231" t="s">
        <v>860</v>
      </c>
      <c r="B152" s="241" t="s">
        <v>861</v>
      </c>
      <c r="C152" s="241" t="s">
        <v>241</v>
      </c>
      <c r="D152" s="64">
        <v>1</v>
      </c>
      <c r="E152" s="65">
        <v>1</v>
      </c>
      <c r="F152" s="220">
        <v>1</v>
      </c>
      <c r="G152" s="222">
        <v>1</v>
      </c>
      <c r="H152" s="64">
        <v>1</v>
      </c>
      <c r="I152" s="65">
        <v>1</v>
      </c>
      <c r="J152" s="67">
        <v>1</v>
      </c>
      <c r="K152" s="234">
        <v>1</v>
      </c>
      <c r="L152" s="68"/>
      <c r="M152" s="113"/>
      <c r="N152" s="113"/>
      <c r="O152" s="70">
        <v>1</v>
      </c>
      <c r="P152" s="71">
        <f t="shared" ref="P152:Q152" si="368">IF((I152+M152)/E152&gt;=100%,100%,(I152+M152)/E152)</f>
        <v>1</v>
      </c>
      <c r="Q152" s="71">
        <f t="shared" si="368"/>
        <v>1</v>
      </c>
      <c r="R152" s="70">
        <f t="shared" si="364"/>
        <v>1</v>
      </c>
      <c r="S152" s="258" t="s">
        <v>862</v>
      </c>
      <c r="T152" s="253" t="s">
        <v>863</v>
      </c>
      <c r="U152" s="270" t="s">
        <v>864</v>
      </c>
      <c r="V152" s="231" t="s">
        <v>865</v>
      </c>
      <c r="W152" s="256" t="s">
        <v>866</v>
      </c>
      <c r="X152" s="72">
        <v>45230</v>
      </c>
      <c r="Y152" s="73"/>
      <c r="Z152" s="73"/>
      <c r="AA152" s="145"/>
      <c r="AB152" s="124"/>
      <c r="AC152" s="89">
        <f t="shared" si="365"/>
        <v>4</v>
      </c>
      <c r="AD152" s="89">
        <f t="shared" si="366"/>
        <v>4</v>
      </c>
      <c r="AE152" s="84">
        <f t="shared" si="367"/>
        <v>1</v>
      </c>
      <c r="AF152" s="54">
        <f t="shared" si="357"/>
        <v>0.44087500000000002</v>
      </c>
      <c r="AG152" s="94">
        <v>0.92349999999999999</v>
      </c>
      <c r="AH152" s="284">
        <v>0.34</v>
      </c>
      <c r="AI152" s="84">
        <v>0.25</v>
      </c>
      <c r="AJ152" s="84">
        <v>0.25</v>
      </c>
      <c r="AK152" s="301">
        <v>2146711035</v>
      </c>
      <c r="AL152" s="301">
        <v>5470998511</v>
      </c>
      <c r="AM152" s="301">
        <v>1778242399</v>
      </c>
      <c r="AN152" s="301">
        <v>949797511</v>
      </c>
      <c r="AO152" s="301">
        <v>1417388669</v>
      </c>
      <c r="AP152" s="79">
        <f t="shared" si="348"/>
        <v>0.66026057810803584</v>
      </c>
      <c r="AQ152" s="80"/>
      <c r="AR152" s="93"/>
      <c r="AS152" s="82"/>
      <c r="AT152" s="343">
        <v>724669726</v>
      </c>
      <c r="AU152" s="329">
        <f t="shared" si="350"/>
        <v>0.33757208780547404</v>
      </c>
      <c r="AV152" s="311"/>
      <c r="AW152" s="311"/>
      <c r="AX152" s="311"/>
      <c r="AY152" s="311"/>
      <c r="AZ152" s="311"/>
      <c r="BA152" s="311"/>
      <c r="BB152" s="311"/>
      <c r="BC152" s="328" t="e">
        <f t="shared" si="361"/>
        <v>#DIV/0!</v>
      </c>
      <c r="BD152" s="317">
        <f>9079028557+AK152</f>
        <v>11225739592</v>
      </c>
      <c r="BE152" s="312">
        <f>+AL152+AM152+AN152+AO152</f>
        <v>9616427090</v>
      </c>
      <c r="BF152" s="328">
        <f t="shared" si="353"/>
        <v>0.85664084857741818</v>
      </c>
      <c r="BG152" s="312">
        <f>SUM(AQ152:AT152)+AX152+AZ152+BB152</f>
        <v>724669726</v>
      </c>
      <c r="BH152" s="328">
        <f t="shared" si="354"/>
        <v>6.4554296851535228E-2</v>
      </c>
      <c r="BI152" s="85"/>
      <c r="BJ152" s="254" t="s">
        <v>81</v>
      </c>
      <c r="BK152" s="254" t="s">
        <v>83</v>
      </c>
      <c r="BL152" s="231" t="s">
        <v>230</v>
      </c>
      <c r="BM152" s="139"/>
      <c r="BN152" s="139"/>
      <c r="BO152" s="139"/>
    </row>
    <row r="153" spans="1:67" ht="27.75" customHeight="1">
      <c r="A153" s="231" t="s">
        <v>867</v>
      </c>
      <c r="B153" s="241" t="s">
        <v>868</v>
      </c>
      <c r="C153" s="241" t="s">
        <v>241</v>
      </c>
      <c r="D153" s="64">
        <v>1</v>
      </c>
      <c r="E153" s="65">
        <v>1</v>
      </c>
      <c r="F153" s="220">
        <v>1</v>
      </c>
      <c r="G153" s="222">
        <v>1</v>
      </c>
      <c r="H153" s="64">
        <v>1</v>
      </c>
      <c r="I153" s="65">
        <v>1</v>
      </c>
      <c r="J153" s="67">
        <v>1</v>
      </c>
      <c r="K153" s="234">
        <v>1</v>
      </c>
      <c r="L153" s="68"/>
      <c r="M153" s="69"/>
      <c r="N153" s="69"/>
      <c r="O153" s="70">
        <v>1</v>
      </c>
      <c r="P153" s="71">
        <f t="shared" ref="P153:Q153" si="369">IF((I153+M153)/E153&gt;=100%,100%,(I153+M153)/E153)</f>
        <v>1</v>
      </c>
      <c r="Q153" s="71">
        <f t="shared" si="369"/>
        <v>1</v>
      </c>
      <c r="R153" s="70">
        <f t="shared" si="364"/>
        <v>1</v>
      </c>
      <c r="S153" s="258" t="s">
        <v>869</v>
      </c>
      <c r="T153" s="253" t="s">
        <v>870</v>
      </c>
      <c r="U153" s="270" t="s">
        <v>871</v>
      </c>
      <c r="V153" s="231" t="s">
        <v>872</v>
      </c>
      <c r="W153" s="256" t="s">
        <v>873</v>
      </c>
      <c r="X153" s="72">
        <v>45230</v>
      </c>
      <c r="Y153" s="73"/>
      <c r="Z153" s="73"/>
      <c r="AA153" s="85"/>
      <c r="AB153" s="124"/>
      <c r="AC153" s="89">
        <f t="shared" si="365"/>
        <v>4</v>
      </c>
      <c r="AD153" s="89">
        <f t="shared" si="366"/>
        <v>4</v>
      </c>
      <c r="AE153" s="84">
        <f t="shared" si="367"/>
        <v>1</v>
      </c>
      <c r="AF153" s="54">
        <f t="shared" si="357"/>
        <v>0.14000000000000001</v>
      </c>
      <c r="AG153" s="94">
        <v>0.03</v>
      </c>
      <c r="AH153" s="284">
        <v>0.03</v>
      </c>
      <c r="AI153" s="84">
        <v>0.25</v>
      </c>
      <c r="AJ153" s="84">
        <v>0.25</v>
      </c>
      <c r="AK153" s="301">
        <v>159394765</v>
      </c>
      <c r="AL153" s="301">
        <v>15721608</v>
      </c>
      <c r="AM153" s="301">
        <v>98941679</v>
      </c>
      <c r="AN153" s="301">
        <v>128876523</v>
      </c>
      <c r="AO153" s="301">
        <v>159394764</v>
      </c>
      <c r="AP153" s="79">
        <f t="shared" si="348"/>
        <v>0.99999999372626824</v>
      </c>
      <c r="AQ153" s="80"/>
      <c r="AR153" s="93"/>
      <c r="AS153" s="82"/>
      <c r="AT153" s="343">
        <v>122238691</v>
      </c>
      <c r="AU153" s="329">
        <f t="shared" si="350"/>
        <v>0.76689275836631143</v>
      </c>
      <c r="AV153" s="311"/>
      <c r="AW153" s="311"/>
      <c r="AX153" s="311"/>
      <c r="AY153" s="311"/>
      <c r="AZ153" s="311"/>
      <c r="BA153" s="311"/>
      <c r="BB153" s="311"/>
      <c r="BC153" s="328" t="e">
        <f t="shared" si="361"/>
        <v>#DIV/0!</v>
      </c>
      <c r="BD153" s="317">
        <f>262319088+AK153</f>
        <v>421713853</v>
      </c>
      <c r="BE153" s="312">
        <f>+AL153+AM153+AN153+AO153</f>
        <v>402934574</v>
      </c>
      <c r="BF153" s="328">
        <f t="shared" si="353"/>
        <v>0.95546914367074398</v>
      </c>
      <c r="BG153" s="312">
        <f>SUM(AQ153:AT153)+AX153+AZ153+BB153</f>
        <v>122238691</v>
      </c>
      <c r="BH153" s="328">
        <f t="shared" si="354"/>
        <v>0.28986169207014406</v>
      </c>
      <c r="BI153" s="85"/>
      <c r="BJ153" s="254" t="s">
        <v>81</v>
      </c>
      <c r="BK153" s="254" t="s">
        <v>83</v>
      </c>
      <c r="BL153" s="231" t="s">
        <v>230</v>
      </c>
      <c r="BM153" s="139"/>
      <c r="BN153" s="139"/>
      <c r="BO153" s="139"/>
    </row>
    <row r="154" spans="1:67" ht="27.75" customHeight="1">
      <c r="A154" s="231" t="s">
        <v>874</v>
      </c>
      <c r="B154" s="241" t="s">
        <v>875</v>
      </c>
      <c r="C154" s="241" t="s">
        <v>241</v>
      </c>
      <c r="D154" s="64">
        <v>1</v>
      </c>
      <c r="E154" s="65">
        <v>1</v>
      </c>
      <c r="F154" s="220">
        <v>1</v>
      </c>
      <c r="G154" s="222">
        <v>1</v>
      </c>
      <c r="H154" s="64">
        <v>1</v>
      </c>
      <c r="I154" s="65">
        <v>1</v>
      </c>
      <c r="J154" s="67">
        <v>1</v>
      </c>
      <c r="K154" s="234">
        <v>1</v>
      </c>
      <c r="L154" s="68"/>
      <c r="M154" s="69"/>
      <c r="N154" s="69"/>
      <c r="O154" s="70">
        <v>1</v>
      </c>
      <c r="P154" s="71">
        <f t="shared" ref="P154:Q154" si="370">IF((I154+M154)/E154&gt;=100%,100%,(I154+M154)/E154)</f>
        <v>1</v>
      </c>
      <c r="Q154" s="71">
        <f t="shared" si="370"/>
        <v>1</v>
      </c>
      <c r="R154" s="70">
        <f t="shared" si="364"/>
        <v>1</v>
      </c>
      <c r="S154" s="258" t="s">
        <v>876</v>
      </c>
      <c r="T154" s="253" t="s">
        <v>877</v>
      </c>
      <c r="U154" s="270" t="s">
        <v>878</v>
      </c>
      <c r="V154" s="231" t="s">
        <v>879</v>
      </c>
      <c r="W154" s="256" t="s">
        <v>880</v>
      </c>
      <c r="X154" s="72">
        <v>45230</v>
      </c>
      <c r="Y154" s="73"/>
      <c r="Z154" s="73"/>
      <c r="AA154" s="85"/>
      <c r="AB154" s="124"/>
      <c r="AC154" s="89">
        <f t="shared" si="365"/>
        <v>4</v>
      </c>
      <c r="AD154" s="89">
        <f t="shared" si="366"/>
        <v>4</v>
      </c>
      <c r="AE154" s="84">
        <f t="shared" si="367"/>
        <v>1</v>
      </c>
      <c r="AF154" s="54">
        <f t="shared" si="357"/>
        <v>0.18012500000000001</v>
      </c>
      <c r="AG154" s="94">
        <v>5.0500000000000003E-2</v>
      </c>
      <c r="AH154" s="284">
        <v>0.17</v>
      </c>
      <c r="AI154" s="84">
        <v>0.25</v>
      </c>
      <c r="AJ154" s="84">
        <v>0.25</v>
      </c>
      <c r="AK154" s="301">
        <v>611267788</v>
      </c>
      <c r="AL154" s="301">
        <v>261402354</v>
      </c>
      <c r="AM154" s="301">
        <v>901657531</v>
      </c>
      <c r="AN154" s="301">
        <v>365755611</v>
      </c>
      <c r="AO154" s="301">
        <v>447269268</v>
      </c>
      <c r="AP154" s="79">
        <f t="shared" si="348"/>
        <v>0.73170757036521605</v>
      </c>
      <c r="AQ154" s="80"/>
      <c r="AR154" s="93"/>
      <c r="AS154" s="82"/>
      <c r="AT154" s="343">
        <v>310047785</v>
      </c>
      <c r="AU154" s="329">
        <f t="shared" si="350"/>
        <v>0.50722087943557725</v>
      </c>
      <c r="AV154" s="311"/>
      <c r="AW154" s="311"/>
      <c r="AX154" s="311"/>
      <c r="AY154" s="311"/>
      <c r="AZ154" s="311"/>
      <c r="BA154" s="311"/>
      <c r="BB154" s="311"/>
      <c r="BC154" s="328"/>
      <c r="BD154" s="317">
        <f>1800818029+AK154</f>
        <v>2412085817</v>
      </c>
      <c r="BE154" s="312">
        <f>+AL154+AM154+AN154+AO154</f>
        <v>1976084764</v>
      </c>
      <c r="BF154" s="328">
        <f t="shared" si="353"/>
        <v>0.81924314221030881</v>
      </c>
      <c r="BG154" s="312">
        <f>SUM(AQ154:AT154)+AX154+AZ154+BB154</f>
        <v>310047785</v>
      </c>
      <c r="BH154" s="328">
        <f t="shared" si="354"/>
        <v>0.12853928447107155</v>
      </c>
      <c r="BI154" s="85"/>
      <c r="BJ154" s="254" t="s">
        <v>81</v>
      </c>
      <c r="BK154" s="254" t="s">
        <v>83</v>
      </c>
      <c r="BL154" s="231" t="s">
        <v>230</v>
      </c>
      <c r="BM154" s="139"/>
      <c r="BN154" s="139"/>
      <c r="BO154" s="139"/>
    </row>
    <row r="155" spans="1:67" ht="29.25" customHeight="1">
      <c r="A155" s="195" t="s">
        <v>881</v>
      </c>
      <c r="B155" s="53"/>
      <c r="C155" s="53"/>
      <c r="D155" s="53"/>
      <c r="E155" s="53"/>
      <c r="F155" s="53"/>
      <c r="G155" s="53"/>
      <c r="H155" s="53"/>
      <c r="I155" s="53"/>
      <c r="J155" s="53"/>
      <c r="K155" s="53"/>
      <c r="L155" s="53"/>
      <c r="M155" s="53"/>
      <c r="N155" s="53"/>
      <c r="O155" s="54">
        <f>+SUMPRODUCT(O156:O158,AG156:AG158)</f>
        <v>1.002</v>
      </c>
      <c r="P155" s="54">
        <f>+SUMPRODUCT(P156:P158,AH156:AH158)</f>
        <v>0.96250000000000013</v>
      </c>
      <c r="Q155" s="54">
        <f>+SUMPRODUCT(Q156:Q158,AI156:AI158)</f>
        <v>0.98399679999999989</v>
      </c>
      <c r="R155" s="54">
        <f>+SUMPRODUCT(R156:R158,AJ156:AJ158)</f>
        <v>0.91895046000000002</v>
      </c>
      <c r="S155" s="259"/>
      <c r="T155" s="259"/>
      <c r="U155" s="259"/>
      <c r="V155" s="259"/>
      <c r="W155" s="259"/>
      <c r="X155" s="55"/>
      <c r="Y155" s="56"/>
      <c r="Z155" s="56"/>
      <c r="AA155" s="56"/>
      <c r="AB155" s="56"/>
      <c r="AC155" s="57"/>
      <c r="AD155" s="57"/>
      <c r="AE155" s="54">
        <f>+SUMPRODUCT(AE156:AE159,AF156:AF159)</f>
        <v>0.9667999599999999</v>
      </c>
      <c r="AF155" s="54">
        <f t="shared" si="357"/>
        <v>0.5</v>
      </c>
      <c r="AG155" s="54">
        <v>0.5</v>
      </c>
      <c r="AH155" s="249">
        <v>0.5</v>
      </c>
      <c r="AI155" s="54">
        <v>0.5</v>
      </c>
      <c r="AJ155" s="54">
        <v>0.5</v>
      </c>
      <c r="AK155" s="296">
        <f t="shared" ref="AK155:AO155" si="371">SUM(AK156:AK158)</f>
        <v>224093500</v>
      </c>
      <c r="AL155" s="296">
        <f t="shared" si="371"/>
        <v>169890120</v>
      </c>
      <c r="AM155" s="296">
        <f t="shared" si="371"/>
        <v>272774492</v>
      </c>
      <c r="AN155" s="296">
        <f t="shared" si="371"/>
        <v>251699241</v>
      </c>
      <c r="AO155" s="296">
        <f t="shared" si="371"/>
        <v>136027823</v>
      </c>
      <c r="AP155" s="59">
        <f t="shared" si="348"/>
        <v>0.6070136929451323</v>
      </c>
      <c r="AQ155" s="182"/>
      <c r="AR155" s="182"/>
      <c r="AS155" s="182"/>
      <c r="AT155" s="323">
        <f>+SUM(AT156:AT158)</f>
        <v>129212242</v>
      </c>
      <c r="AU155" s="331"/>
      <c r="AV155" s="310"/>
      <c r="AW155" s="310"/>
      <c r="AX155" s="310"/>
      <c r="AY155" s="310"/>
      <c r="AZ155" s="310"/>
      <c r="BA155" s="310"/>
      <c r="BB155" s="310"/>
      <c r="BC155" s="325"/>
      <c r="BD155" s="300">
        <f t="shared" ref="BD155:BE155" si="372">SUM(BD156:BD158)</f>
        <v>1146126197</v>
      </c>
      <c r="BE155" s="300">
        <f t="shared" si="372"/>
        <v>830391676</v>
      </c>
      <c r="BF155" s="325">
        <f t="shared" si="353"/>
        <v>0.72452028247287326</v>
      </c>
      <c r="BG155" s="300">
        <f>SUM(BG156:BG158)</f>
        <v>129212242</v>
      </c>
      <c r="BH155" s="325">
        <f>+BG155/BD155</f>
        <v>0.11273823278641977</v>
      </c>
      <c r="BI155" s="56"/>
      <c r="BJ155" s="350" t="s">
        <v>81</v>
      </c>
      <c r="BK155" s="350" t="s">
        <v>83</v>
      </c>
      <c r="BL155" s="350" t="s">
        <v>230</v>
      </c>
      <c r="BM155" s="62"/>
      <c r="BN155" s="62"/>
      <c r="BO155" s="62"/>
    </row>
    <row r="156" spans="1:67" ht="20.100000000000001" customHeight="1">
      <c r="A156" s="231" t="s">
        <v>228</v>
      </c>
      <c r="B156" s="242"/>
      <c r="C156" s="241" t="s">
        <v>229</v>
      </c>
      <c r="D156" s="64">
        <v>0</v>
      </c>
      <c r="E156" s="65">
        <v>100</v>
      </c>
      <c r="F156" s="220">
        <v>100</v>
      </c>
      <c r="G156" s="66">
        <v>100</v>
      </c>
      <c r="H156" s="64">
        <v>0</v>
      </c>
      <c r="I156" s="65">
        <v>85</v>
      </c>
      <c r="J156" s="67">
        <v>95.2</v>
      </c>
      <c r="K156" s="233">
        <v>75.69</v>
      </c>
      <c r="L156" s="68"/>
      <c r="M156" s="69"/>
      <c r="N156" s="69"/>
      <c r="O156" s="70">
        <v>0</v>
      </c>
      <c r="P156" s="71">
        <f t="shared" ref="P156:Q156" si="373">IF((I156+M156)/E156&gt;=100%,100%,(I156+M156)/E156)</f>
        <v>0.85</v>
      </c>
      <c r="Q156" s="71">
        <f t="shared" si="373"/>
        <v>0.95200000000000007</v>
      </c>
      <c r="R156" s="70">
        <f t="shared" ref="R156:R158" si="374">IF(K156/G156&gt;=100%,100%,K156/G156)</f>
        <v>0.75690000000000002</v>
      </c>
      <c r="S156" s="274"/>
      <c r="T156" s="274"/>
      <c r="U156" s="274"/>
      <c r="V156" s="231"/>
      <c r="W156" s="278"/>
      <c r="X156" s="72">
        <v>45230</v>
      </c>
      <c r="Y156" s="73"/>
      <c r="Z156" s="63"/>
      <c r="AA156" s="74"/>
      <c r="AB156" s="118"/>
      <c r="AC156" s="76">
        <f t="shared" ref="AC156:AC158" si="375">SUM(D156:G156)</f>
        <v>300</v>
      </c>
      <c r="AD156" s="76">
        <f t="shared" ref="AD156:AD158" si="376">SUM(H156:N156)</f>
        <v>255.89</v>
      </c>
      <c r="AE156" s="70">
        <f t="shared" ref="AE156:AE158" si="377">IF(AD156/AC156&gt;=100%,100%,AD156/AC156)</f>
        <v>0.85296666666666665</v>
      </c>
      <c r="AF156" s="54">
        <f t="shared" si="357"/>
        <v>0.22919999999999996</v>
      </c>
      <c r="AG156" s="77">
        <v>0</v>
      </c>
      <c r="AH156" s="289">
        <v>0.25</v>
      </c>
      <c r="AI156" s="70">
        <v>0.33339999999999997</v>
      </c>
      <c r="AJ156" s="70">
        <v>0.33339999999999997</v>
      </c>
      <c r="AK156" s="301">
        <v>108589000</v>
      </c>
      <c r="AL156" s="301">
        <v>0</v>
      </c>
      <c r="AM156" s="301">
        <f>73514137+653600</f>
        <v>74167737</v>
      </c>
      <c r="AN156" s="301">
        <v>87388667</v>
      </c>
      <c r="AO156" s="301">
        <v>82188986</v>
      </c>
      <c r="AP156" s="79">
        <f t="shared" si="348"/>
        <v>0.75688132315427903</v>
      </c>
      <c r="AQ156" s="80"/>
      <c r="AR156" s="81"/>
      <c r="AS156" s="83"/>
      <c r="AT156" s="343">
        <v>81692834</v>
      </c>
      <c r="AU156" s="329">
        <f>+AT156/AK156</f>
        <v>0.75231224157142984</v>
      </c>
      <c r="AV156" s="311"/>
      <c r="AW156" s="311"/>
      <c r="AX156" s="311"/>
      <c r="AY156" s="311"/>
      <c r="AZ156" s="311"/>
      <c r="BA156" s="311"/>
      <c r="BB156" s="311"/>
      <c r="BC156" s="328"/>
      <c r="BD156" s="317">
        <f>178814000+AK156</f>
        <v>287403000</v>
      </c>
      <c r="BE156" s="312">
        <f>+AL156+AM156+AN156+AO156</f>
        <v>243745390</v>
      </c>
      <c r="BF156" s="328">
        <f t="shared" si="353"/>
        <v>0.84809619245449774</v>
      </c>
      <c r="BG156" s="312">
        <f>SUM(AQ156:AT156)+AX156+AZ156+BB156</f>
        <v>81692834</v>
      </c>
      <c r="BH156" s="328">
        <f t="shared" si="354"/>
        <v>0.28424488958013661</v>
      </c>
      <c r="BI156" s="85"/>
      <c r="BJ156" s="254" t="s">
        <v>81</v>
      </c>
      <c r="BK156" s="254" t="s">
        <v>83</v>
      </c>
      <c r="BL156" s="279" t="s">
        <v>230</v>
      </c>
      <c r="BM156" s="137"/>
      <c r="BN156" s="137"/>
      <c r="BO156" s="137"/>
    </row>
    <row r="157" spans="1:67" ht="36" customHeight="1">
      <c r="A157" s="231" t="s">
        <v>882</v>
      </c>
      <c r="B157" s="241" t="s">
        <v>883</v>
      </c>
      <c r="C157" s="241" t="s">
        <v>241</v>
      </c>
      <c r="D157" s="64">
        <v>1</v>
      </c>
      <c r="E157" s="65">
        <v>1</v>
      </c>
      <c r="F157" s="220">
        <v>1</v>
      </c>
      <c r="G157" s="222">
        <v>1</v>
      </c>
      <c r="H157" s="64">
        <v>1</v>
      </c>
      <c r="I157" s="65">
        <v>1</v>
      </c>
      <c r="J157" s="67">
        <v>1</v>
      </c>
      <c r="K157" s="234">
        <v>1</v>
      </c>
      <c r="L157" s="68"/>
      <c r="M157" s="69"/>
      <c r="N157" s="69"/>
      <c r="O157" s="70">
        <v>1</v>
      </c>
      <c r="P157" s="71">
        <f t="shared" ref="P157:Q157" si="378">IF((I157+M157)/E157&gt;=100%,100%,(I157+M157)/E157)</f>
        <v>1</v>
      </c>
      <c r="Q157" s="71">
        <f t="shared" si="378"/>
        <v>1</v>
      </c>
      <c r="R157" s="70">
        <f t="shared" si="374"/>
        <v>1</v>
      </c>
      <c r="S157" s="258" t="s">
        <v>884</v>
      </c>
      <c r="T157" s="253" t="s">
        <v>885</v>
      </c>
      <c r="U157" s="270" t="s">
        <v>886</v>
      </c>
      <c r="V157" s="279" t="s">
        <v>887</v>
      </c>
      <c r="W157" s="257" t="s">
        <v>888</v>
      </c>
      <c r="X157" s="199">
        <v>45230</v>
      </c>
      <c r="Y157" s="73"/>
      <c r="Z157" s="73"/>
      <c r="AA157" s="85"/>
      <c r="AB157" s="124"/>
      <c r="AC157" s="89">
        <f t="shared" si="375"/>
        <v>4</v>
      </c>
      <c r="AD157" s="89">
        <f t="shared" si="376"/>
        <v>4</v>
      </c>
      <c r="AE157" s="84">
        <f t="shared" si="377"/>
        <v>1</v>
      </c>
      <c r="AF157" s="54">
        <f t="shared" si="357"/>
        <v>0.42164999999999997</v>
      </c>
      <c r="AG157" s="94">
        <v>0.34</v>
      </c>
      <c r="AH157" s="284">
        <v>0.68</v>
      </c>
      <c r="AI157" s="84">
        <v>0.33329999999999999</v>
      </c>
      <c r="AJ157" s="84">
        <v>0.33329999999999999</v>
      </c>
      <c r="AK157" s="301">
        <v>69504500</v>
      </c>
      <c r="AL157" s="301">
        <v>135587316</v>
      </c>
      <c r="AM157" s="301">
        <v>198606755</v>
      </c>
      <c r="AN157" s="301">
        <v>129311134</v>
      </c>
      <c r="AO157" s="301">
        <v>31139272</v>
      </c>
      <c r="AP157" s="79">
        <f t="shared" si="348"/>
        <v>0.44801807077239603</v>
      </c>
      <c r="AQ157" s="80"/>
      <c r="AR157" s="93"/>
      <c r="AS157" s="82"/>
      <c r="AT157" s="343">
        <v>24910280</v>
      </c>
      <c r="AU157" s="329">
        <f>+AT157/AK157</f>
        <v>0.3583980893323454</v>
      </c>
      <c r="AV157" s="311"/>
      <c r="AW157" s="311"/>
      <c r="AX157" s="311"/>
      <c r="AY157" s="311"/>
      <c r="AZ157" s="311"/>
      <c r="BA157" s="311"/>
      <c r="BB157" s="311"/>
      <c r="BC157" s="328"/>
      <c r="BD157" s="317">
        <f>506678615+AK157</f>
        <v>576183115</v>
      </c>
      <c r="BE157" s="312">
        <f>+AL157+AM157+AN157+AO157</f>
        <v>494644477</v>
      </c>
      <c r="BF157" s="328">
        <f t="shared" si="353"/>
        <v>0.85848485337859992</v>
      </c>
      <c r="BG157" s="312">
        <f>SUM(AQ157:AT157)+AX157+AZ157+BB157</f>
        <v>24910280</v>
      </c>
      <c r="BH157" s="328">
        <f t="shared" si="354"/>
        <v>4.3233269687189636E-2</v>
      </c>
      <c r="BI157" s="85"/>
      <c r="BJ157" s="254" t="s">
        <v>81</v>
      </c>
      <c r="BK157" s="254" t="s">
        <v>83</v>
      </c>
      <c r="BL157" s="231" t="s">
        <v>230</v>
      </c>
      <c r="BM157" s="139"/>
      <c r="BN157" s="139"/>
      <c r="BO157" s="139"/>
    </row>
    <row r="158" spans="1:67" ht="35.25" customHeight="1">
      <c r="A158" s="231" t="s">
        <v>889</v>
      </c>
      <c r="B158" s="241" t="s">
        <v>890</v>
      </c>
      <c r="C158" s="241" t="s">
        <v>229</v>
      </c>
      <c r="D158" s="64">
        <v>1</v>
      </c>
      <c r="E158" s="65">
        <v>3</v>
      </c>
      <c r="F158" s="220">
        <v>3</v>
      </c>
      <c r="G158" s="222">
        <v>3</v>
      </c>
      <c r="H158" s="64">
        <v>1</v>
      </c>
      <c r="I158" s="146">
        <v>5</v>
      </c>
      <c r="J158" s="67">
        <v>3</v>
      </c>
      <c r="K158" s="234">
        <v>3</v>
      </c>
      <c r="L158" s="68"/>
      <c r="M158" s="69"/>
      <c r="N158" s="69"/>
      <c r="O158" s="70">
        <v>1</v>
      </c>
      <c r="P158" s="71">
        <f t="shared" ref="P158:Q158" si="379">IF((I158+M158)/E158&gt;=100%,100%,(I158+M158)/E158)</f>
        <v>1</v>
      </c>
      <c r="Q158" s="71">
        <f t="shared" si="379"/>
        <v>1</v>
      </c>
      <c r="R158" s="70">
        <f t="shared" si="374"/>
        <v>1</v>
      </c>
      <c r="S158" s="258" t="s">
        <v>891</v>
      </c>
      <c r="T158" s="253" t="s">
        <v>892</v>
      </c>
      <c r="U158" s="270" t="s">
        <v>893</v>
      </c>
      <c r="V158" s="279"/>
      <c r="W158" s="280"/>
      <c r="X158" s="199">
        <v>45230</v>
      </c>
      <c r="Y158" s="73"/>
      <c r="Z158" s="73"/>
      <c r="AA158" s="85"/>
      <c r="AB158" s="124"/>
      <c r="AC158" s="89">
        <f t="shared" si="375"/>
        <v>10</v>
      </c>
      <c r="AD158" s="89">
        <f t="shared" si="376"/>
        <v>12</v>
      </c>
      <c r="AE158" s="84">
        <f t="shared" si="377"/>
        <v>1</v>
      </c>
      <c r="AF158" s="54">
        <f t="shared" si="357"/>
        <v>0.34964999999999996</v>
      </c>
      <c r="AG158" s="94">
        <v>0.66200000000000003</v>
      </c>
      <c r="AH158" s="284">
        <v>7.0000000000000007E-2</v>
      </c>
      <c r="AI158" s="84">
        <v>0.33329999999999999</v>
      </c>
      <c r="AJ158" s="84">
        <v>0.33329999999999999</v>
      </c>
      <c r="AK158" s="301">
        <v>46000000</v>
      </c>
      <c r="AL158" s="301">
        <v>34302804</v>
      </c>
      <c r="AM158" s="301">
        <v>0</v>
      </c>
      <c r="AN158" s="301">
        <v>34999440</v>
      </c>
      <c r="AO158" s="301">
        <v>22699565</v>
      </c>
      <c r="AP158" s="79">
        <f t="shared" si="348"/>
        <v>0.49346880434782608</v>
      </c>
      <c r="AQ158" s="80"/>
      <c r="AR158" s="93"/>
      <c r="AS158" s="82"/>
      <c r="AT158" s="343">
        <v>22609128</v>
      </c>
      <c r="AU158" s="329">
        <f>+AT158/AK158</f>
        <v>0.49150278260869568</v>
      </c>
      <c r="AV158" s="311"/>
      <c r="AW158" s="311"/>
      <c r="AX158" s="311"/>
      <c r="AY158" s="311"/>
      <c r="AZ158" s="311"/>
      <c r="BA158" s="311"/>
      <c r="BB158" s="311"/>
      <c r="BC158" s="328" t="e">
        <f>+BB158/BA158</f>
        <v>#DIV/0!</v>
      </c>
      <c r="BD158" s="317">
        <f>236540082+AK158</f>
        <v>282540082</v>
      </c>
      <c r="BE158" s="312">
        <f>+AL158+AM158+AN158+AO158</f>
        <v>92001809</v>
      </c>
      <c r="BF158" s="328">
        <f t="shared" si="353"/>
        <v>0.32562391979485589</v>
      </c>
      <c r="BG158" s="312">
        <f>SUM(AQ158:AT158)+AX158+AZ158+BB158</f>
        <v>22609128</v>
      </c>
      <c r="BH158" s="328">
        <f t="shared" si="354"/>
        <v>8.0020957875987314E-2</v>
      </c>
      <c r="BI158" s="85"/>
      <c r="BJ158" s="254" t="s">
        <v>81</v>
      </c>
      <c r="BK158" s="254" t="s">
        <v>83</v>
      </c>
      <c r="BL158" s="231" t="s">
        <v>230</v>
      </c>
      <c r="BM158" s="139"/>
      <c r="BN158" s="139"/>
      <c r="BO158" s="139"/>
    </row>
    <row r="159" spans="1:67" ht="20.100000000000001" customHeight="1">
      <c r="A159" s="31" t="s">
        <v>856</v>
      </c>
      <c r="B159" s="32"/>
      <c r="C159" s="133"/>
      <c r="D159" s="133"/>
      <c r="E159" s="134"/>
      <c r="F159" s="134"/>
      <c r="G159" s="34"/>
      <c r="H159" s="134"/>
      <c r="I159" s="134"/>
      <c r="J159" s="34"/>
      <c r="K159" s="134"/>
      <c r="L159" s="134"/>
      <c r="M159" s="34"/>
      <c r="N159" s="34"/>
      <c r="O159" s="36"/>
      <c r="P159" s="36"/>
      <c r="Q159" s="36"/>
      <c r="R159" s="35">
        <f>+R160</f>
        <v>0.74139142000000002</v>
      </c>
      <c r="S159" s="262"/>
      <c r="T159" s="262"/>
      <c r="U159" s="262"/>
      <c r="V159" s="262"/>
      <c r="W159" s="262"/>
      <c r="X159" s="200"/>
      <c r="Y159" s="36"/>
      <c r="Z159" s="36"/>
      <c r="AA159" s="36"/>
      <c r="AB159" s="32"/>
      <c r="AC159" s="135"/>
      <c r="AD159" s="136"/>
      <c r="AE159" s="35"/>
      <c r="AF159" s="35"/>
      <c r="AG159" s="35"/>
      <c r="AH159" s="286"/>
      <c r="AI159" s="35"/>
      <c r="AJ159" s="35"/>
      <c r="AK159" s="302"/>
      <c r="AL159" s="302"/>
      <c r="AM159" s="302"/>
      <c r="AN159" s="302"/>
      <c r="AO159" s="302"/>
      <c r="AP159" s="40"/>
      <c r="AQ159" s="39"/>
      <c r="AR159" s="39"/>
      <c r="AS159" s="39"/>
      <c r="AT159" s="335"/>
      <c r="AU159" s="339"/>
      <c r="AV159" s="316"/>
      <c r="AW159" s="316"/>
      <c r="AX159" s="316"/>
      <c r="AY159" s="316"/>
      <c r="AZ159" s="316"/>
      <c r="BA159" s="316"/>
      <c r="BB159" s="316"/>
      <c r="BC159" s="338"/>
      <c r="BD159" s="298"/>
      <c r="BE159" s="298"/>
      <c r="BF159" s="338"/>
      <c r="BG159" s="298"/>
      <c r="BH159" s="338"/>
      <c r="BI159" s="33"/>
      <c r="BJ159" s="355"/>
      <c r="BK159" s="355"/>
      <c r="BL159" s="348"/>
      <c r="BM159" s="10"/>
      <c r="BN159" s="10"/>
      <c r="BO159" s="10"/>
    </row>
    <row r="160" spans="1:67" ht="32.25" customHeight="1">
      <c r="A160" s="147" t="s">
        <v>894</v>
      </c>
      <c r="B160" s="43"/>
      <c r="C160" s="44"/>
      <c r="D160" s="49"/>
      <c r="E160" s="46"/>
      <c r="F160" s="46"/>
      <c r="G160" s="46"/>
      <c r="H160" s="46"/>
      <c r="I160" s="46"/>
      <c r="J160" s="46"/>
      <c r="K160" s="46"/>
      <c r="L160" s="46"/>
      <c r="M160" s="46"/>
      <c r="N160" s="46"/>
      <c r="O160" s="47">
        <f>+(O162*AG162)+(O170*AG170)</f>
        <v>0.98423649999999996</v>
      </c>
      <c r="P160" s="47">
        <f>+(P162*AH162)+(P170*AH170)</f>
        <v>0.66883333333333328</v>
      </c>
      <c r="Q160" s="47">
        <f>+(Q162*AI162)+(Q170*AI170)</f>
        <v>0.8552689333333332</v>
      </c>
      <c r="R160" s="47">
        <f>+(R162*AJ162)+(R170*AJ170)</f>
        <v>0.74139142000000002</v>
      </c>
      <c r="S160" s="263"/>
      <c r="T160" s="263"/>
      <c r="U160" s="263"/>
      <c r="V160" s="263"/>
      <c r="W160" s="263"/>
      <c r="X160" s="106"/>
      <c r="Y160" s="49"/>
      <c r="Z160" s="49"/>
      <c r="AA160" s="49"/>
      <c r="AB160" s="106"/>
      <c r="AC160" s="126"/>
      <c r="AD160" s="108"/>
      <c r="AE160" s="50">
        <f>+AE161</f>
        <v>0.79639083666666677</v>
      </c>
      <c r="AF160" s="47"/>
      <c r="AG160" s="47"/>
      <c r="AH160" s="248"/>
      <c r="AI160" s="47"/>
      <c r="AJ160" s="47"/>
      <c r="AK160" s="303">
        <f t="shared" ref="AK160:AO160" si="380">+AK162+AK170</f>
        <v>2238497688</v>
      </c>
      <c r="AL160" s="303">
        <f t="shared" si="380"/>
        <v>1351721211</v>
      </c>
      <c r="AM160" s="303">
        <f t="shared" si="380"/>
        <v>1627251601</v>
      </c>
      <c r="AN160" s="303">
        <f t="shared" si="380"/>
        <v>1064525880</v>
      </c>
      <c r="AO160" s="303">
        <f t="shared" si="380"/>
        <v>1749329669</v>
      </c>
      <c r="AP160" s="50">
        <f t="shared" ref="AP160:AP163" si="381">+AO160/AK160</f>
        <v>0.78147486074151351</v>
      </c>
      <c r="AQ160" s="51">
        <f t="shared" ref="AQ160:AS160" si="382">+AQ162</f>
        <v>0</v>
      </c>
      <c r="AR160" s="51">
        <f t="shared" si="382"/>
        <v>0</v>
      </c>
      <c r="AS160" s="51">
        <f t="shared" si="382"/>
        <v>0</v>
      </c>
      <c r="AT160" s="319">
        <f>+AT161</f>
        <v>944107715</v>
      </c>
      <c r="AU160" s="341">
        <f>+AT160/AK160</f>
        <v>0.42175952204959349</v>
      </c>
      <c r="AV160" s="308">
        <f t="shared" ref="AV160:BB160" si="383">+AV162</f>
        <v>0</v>
      </c>
      <c r="AW160" s="308">
        <f t="shared" si="383"/>
        <v>0</v>
      </c>
      <c r="AX160" s="308">
        <f t="shared" si="383"/>
        <v>0</v>
      </c>
      <c r="AY160" s="308">
        <f t="shared" si="383"/>
        <v>0</v>
      </c>
      <c r="AZ160" s="308">
        <f t="shared" si="383"/>
        <v>0</v>
      </c>
      <c r="BA160" s="308">
        <f t="shared" si="383"/>
        <v>0</v>
      </c>
      <c r="BB160" s="308">
        <f t="shared" si="383"/>
        <v>0</v>
      </c>
      <c r="BC160" s="322" t="e">
        <f>+BB160/BA160</f>
        <v>#DIV/0!</v>
      </c>
      <c r="BD160" s="299">
        <f t="shared" ref="BD160:BE160" si="384">+BD162+BD170</f>
        <v>6962435767</v>
      </c>
      <c r="BE160" s="299">
        <f t="shared" si="384"/>
        <v>5792828361</v>
      </c>
      <c r="BF160" s="322">
        <f t="shared" ref="BF160:BF168" si="385">+BE160/BD160</f>
        <v>0.83201174917209109</v>
      </c>
      <c r="BG160" s="299">
        <f>BG162+BG170</f>
        <v>944107715</v>
      </c>
      <c r="BH160" s="322">
        <f t="shared" ref="BH160:BH176" si="386">+BG160/BD160</f>
        <v>0.13560020466900488</v>
      </c>
      <c r="BI160" s="49"/>
      <c r="BJ160" s="254" t="s">
        <v>71</v>
      </c>
      <c r="BK160" s="254" t="s">
        <v>83</v>
      </c>
      <c r="BL160" s="279" t="s">
        <v>230</v>
      </c>
      <c r="BM160" s="10"/>
      <c r="BN160" s="10"/>
      <c r="BO160" s="10"/>
    </row>
    <row r="161" spans="1:67" ht="32.25" customHeight="1">
      <c r="A161" s="148" t="s">
        <v>895</v>
      </c>
      <c r="B161" s="43"/>
      <c r="C161" s="44"/>
      <c r="D161" s="49"/>
      <c r="E161" s="46"/>
      <c r="F161" s="46"/>
      <c r="G161" s="46"/>
      <c r="H161" s="46"/>
      <c r="I161" s="46"/>
      <c r="J161" s="46"/>
      <c r="K161" s="46"/>
      <c r="L161" s="46"/>
      <c r="M161" s="46"/>
      <c r="N161" s="46"/>
      <c r="O161" s="47">
        <f>+(O162*AG162)+(O170*AG170)</f>
        <v>0.98423649999999996</v>
      </c>
      <c r="P161" s="47">
        <f>+(P162*AH162)+(P170*AH170)</f>
        <v>0.66883333333333328</v>
      </c>
      <c r="Q161" s="47">
        <f>+(Q162*AI162)+(Q170*AI170)</f>
        <v>0.8552689333333332</v>
      </c>
      <c r="R161" s="47">
        <f>+(R162*AJ162)+(R170*AJ170)</f>
        <v>0.74139142000000002</v>
      </c>
      <c r="S161" s="263"/>
      <c r="T161" s="263"/>
      <c r="U161" s="263"/>
      <c r="V161" s="263"/>
      <c r="W161" s="263"/>
      <c r="X161" s="106"/>
      <c r="Y161" s="49"/>
      <c r="Z161" s="49"/>
      <c r="AA161" s="49"/>
      <c r="AB161" s="106"/>
      <c r="AC161" s="126"/>
      <c r="AD161" s="108"/>
      <c r="AE161" s="50">
        <f>+(AE162*AF162)+(AE170*AF170)</f>
        <v>0.79639083666666677</v>
      </c>
      <c r="AF161" s="47"/>
      <c r="AG161" s="47"/>
      <c r="AH161" s="248"/>
      <c r="AI161" s="47"/>
      <c r="AJ161" s="47"/>
      <c r="AK161" s="303">
        <f t="shared" ref="AK161:AO161" si="387">+AK162+AK170</f>
        <v>2238497688</v>
      </c>
      <c r="AL161" s="303">
        <f t="shared" si="387"/>
        <v>1351721211</v>
      </c>
      <c r="AM161" s="303">
        <f t="shared" si="387"/>
        <v>1627251601</v>
      </c>
      <c r="AN161" s="303">
        <f t="shared" si="387"/>
        <v>1064525880</v>
      </c>
      <c r="AO161" s="303">
        <f t="shared" si="387"/>
        <v>1749329669</v>
      </c>
      <c r="AP161" s="50">
        <f t="shared" si="381"/>
        <v>0.78147486074151351</v>
      </c>
      <c r="AQ161" s="51"/>
      <c r="AR161" s="51"/>
      <c r="AS161" s="51"/>
      <c r="AT161" s="319">
        <f>+AT162+AT170</f>
        <v>944107715</v>
      </c>
      <c r="AU161" s="341">
        <f>+AT161/AK161</f>
        <v>0.42175952204959349</v>
      </c>
      <c r="AV161" s="308"/>
      <c r="AW161" s="308"/>
      <c r="AX161" s="308"/>
      <c r="AY161" s="308"/>
      <c r="AZ161" s="308"/>
      <c r="BA161" s="308"/>
      <c r="BB161" s="308"/>
      <c r="BC161" s="322"/>
      <c r="BD161" s="299">
        <f t="shared" ref="BD161:BE161" si="388">+BD162+BD170</f>
        <v>6962435767</v>
      </c>
      <c r="BE161" s="299">
        <f t="shared" si="388"/>
        <v>5792828361</v>
      </c>
      <c r="BF161" s="322">
        <f t="shared" si="385"/>
        <v>0.83201174917209109</v>
      </c>
      <c r="BG161" s="299">
        <f>BG162+BG170</f>
        <v>944107715</v>
      </c>
      <c r="BH161" s="322">
        <f t="shared" si="386"/>
        <v>0.13560020466900488</v>
      </c>
      <c r="BI161" s="49"/>
      <c r="BJ161" s="254" t="s">
        <v>71</v>
      </c>
      <c r="BK161" s="254" t="s">
        <v>83</v>
      </c>
      <c r="BL161" s="279" t="s">
        <v>230</v>
      </c>
      <c r="BM161" s="137"/>
      <c r="BN161" s="137"/>
      <c r="BO161" s="137"/>
    </row>
    <row r="162" spans="1:67" ht="30" customHeight="1">
      <c r="A162" s="195" t="s">
        <v>896</v>
      </c>
      <c r="B162" s="53"/>
      <c r="C162" s="53"/>
      <c r="D162" s="53"/>
      <c r="E162" s="53"/>
      <c r="F162" s="53"/>
      <c r="G162" s="53"/>
      <c r="H162" s="53"/>
      <c r="I162" s="53"/>
      <c r="J162" s="53"/>
      <c r="K162" s="53"/>
      <c r="L162" s="53"/>
      <c r="M162" s="53"/>
      <c r="N162" s="53"/>
      <c r="O162" s="54">
        <f>+SUMPRODUCT(O163:O169,AG163:AG169)</f>
        <v>0.98019999999999996</v>
      </c>
      <c r="P162" s="54">
        <f>+SUMPRODUCT(P163:P169,AH163:AH169)</f>
        <v>0.34666666666666668</v>
      </c>
      <c r="Q162" s="54">
        <f>+SUMPRODUCT(Q163:Q169,AI163:AI169)</f>
        <v>0.73226666666666662</v>
      </c>
      <c r="R162" s="54">
        <f>+SUMPRODUCT(R163:R169,AJ163:AJ169)</f>
        <v>0.52360000000000007</v>
      </c>
      <c r="S162" s="259"/>
      <c r="T162" s="259"/>
      <c r="U162" s="259"/>
      <c r="V162" s="259"/>
      <c r="W162" s="259"/>
      <c r="X162" s="55"/>
      <c r="Y162" s="56"/>
      <c r="Z162" s="56"/>
      <c r="AA162" s="56"/>
      <c r="AB162" s="56"/>
      <c r="AC162" s="57"/>
      <c r="AD162" s="57"/>
      <c r="AE162" s="54">
        <f>+SUMPRODUCT(AE163:AE169,AF163:AF169)</f>
        <v>0.61090333333333335</v>
      </c>
      <c r="AF162" s="54">
        <f t="shared" ref="AF162:AF176" si="389">SUM(AG162:AJ162)/4</f>
        <v>0.5</v>
      </c>
      <c r="AG162" s="54">
        <v>0.5</v>
      </c>
      <c r="AH162" s="249">
        <v>0.5</v>
      </c>
      <c r="AI162" s="54">
        <v>0.5</v>
      </c>
      <c r="AJ162" s="54">
        <v>0.5</v>
      </c>
      <c r="AK162" s="296">
        <f t="shared" ref="AK162:AO162" si="390">SUM(AK163:AK169)</f>
        <v>690948488</v>
      </c>
      <c r="AL162" s="296">
        <f t="shared" si="390"/>
        <v>688794716</v>
      </c>
      <c r="AM162" s="296">
        <f t="shared" si="390"/>
        <v>375789483</v>
      </c>
      <c r="AN162" s="296">
        <f t="shared" si="390"/>
        <v>94217120</v>
      </c>
      <c r="AO162" s="296">
        <f t="shared" si="390"/>
        <v>460370000</v>
      </c>
      <c r="AP162" s="59">
        <f t="shared" si="381"/>
        <v>0.66628700691215637</v>
      </c>
      <c r="AQ162" s="182"/>
      <c r="AR162" s="182"/>
      <c r="AS162" s="182"/>
      <c r="AT162" s="323">
        <f>+SUM(AT163:AT169)</f>
        <v>0</v>
      </c>
      <c r="AU162" s="341">
        <f>+AT162/AK162</f>
        <v>0</v>
      </c>
      <c r="AV162" s="310"/>
      <c r="AW162" s="310"/>
      <c r="AX162" s="310"/>
      <c r="AY162" s="310"/>
      <c r="AZ162" s="310"/>
      <c r="BA162" s="310"/>
      <c r="BB162" s="310"/>
      <c r="BC162" s="325"/>
      <c r="BD162" s="300">
        <f t="shared" ref="BD162:BE162" si="391">SUM(BD163:BD169)</f>
        <v>2035226103</v>
      </c>
      <c r="BE162" s="300">
        <f t="shared" si="391"/>
        <v>1619171319</v>
      </c>
      <c r="BF162" s="325">
        <f t="shared" si="385"/>
        <v>0.79557318796829524</v>
      </c>
      <c r="BG162" s="300">
        <f>SUM(BG163:BG169)</f>
        <v>0</v>
      </c>
      <c r="BH162" s="325">
        <f t="shared" si="386"/>
        <v>0</v>
      </c>
      <c r="BI162" s="56"/>
      <c r="BJ162" s="350" t="s">
        <v>71</v>
      </c>
      <c r="BK162" s="350" t="s">
        <v>83</v>
      </c>
      <c r="BL162" s="350" t="s">
        <v>230</v>
      </c>
      <c r="BM162" s="62"/>
      <c r="BN162" s="62"/>
      <c r="BO162" s="62"/>
    </row>
    <row r="163" spans="1:67" ht="38.25" customHeight="1">
      <c r="A163" s="231" t="s">
        <v>228</v>
      </c>
      <c r="B163" s="244"/>
      <c r="C163" s="241" t="s">
        <v>229</v>
      </c>
      <c r="D163" s="64">
        <v>0</v>
      </c>
      <c r="E163" s="65">
        <v>0</v>
      </c>
      <c r="F163" s="220">
        <v>0</v>
      </c>
      <c r="G163" s="245">
        <v>100</v>
      </c>
      <c r="H163" s="246">
        <v>0</v>
      </c>
      <c r="I163" s="65">
        <v>0</v>
      </c>
      <c r="J163" s="67">
        <v>0</v>
      </c>
      <c r="K163" s="239">
        <v>100</v>
      </c>
      <c r="L163" s="68"/>
      <c r="M163" s="69"/>
      <c r="N163" s="69"/>
      <c r="O163" s="70">
        <v>0</v>
      </c>
      <c r="P163" s="71">
        <v>0</v>
      </c>
      <c r="Q163" s="71">
        <v>0</v>
      </c>
      <c r="R163" s="70">
        <f t="shared" ref="R163:R165" si="392">IF(K163/G163&gt;=100%,100%,K163/G163)</f>
        <v>1</v>
      </c>
      <c r="S163" s="274"/>
      <c r="T163" s="274"/>
      <c r="U163" s="274"/>
      <c r="V163" s="231"/>
      <c r="W163" s="231"/>
      <c r="X163" s="72">
        <v>45230</v>
      </c>
      <c r="Y163" s="73"/>
      <c r="Z163" s="73"/>
      <c r="AA163" s="85"/>
      <c r="AB163" s="124"/>
      <c r="AC163" s="89">
        <f t="shared" ref="AC163:AC169" si="393">SUM(D163:G163)</f>
        <v>100</v>
      </c>
      <c r="AD163" s="89">
        <f t="shared" ref="AD163:AD169" si="394">SUM(H163:N163)</f>
        <v>100</v>
      </c>
      <c r="AE163" s="84">
        <f t="shared" ref="AE163:AE169" si="395">IF(AD163/AC163&gt;=100%,100%,AD163/AC163)</f>
        <v>1</v>
      </c>
      <c r="AF163" s="54">
        <f t="shared" si="389"/>
        <v>7.1400000000000005E-2</v>
      </c>
      <c r="AG163" s="94">
        <v>0</v>
      </c>
      <c r="AH163" s="288">
        <v>0</v>
      </c>
      <c r="AI163" s="84">
        <v>0.14280000000000001</v>
      </c>
      <c r="AJ163" s="84">
        <v>0.14280000000000001</v>
      </c>
      <c r="AK163" s="301">
        <v>1500000</v>
      </c>
      <c r="AL163" s="301">
        <v>0</v>
      </c>
      <c r="AM163" s="301">
        <v>0</v>
      </c>
      <c r="AN163" s="301">
        <v>0</v>
      </c>
      <c r="AO163" s="301">
        <v>1500000</v>
      </c>
      <c r="AP163" s="79">
        <f t="shared" si="381"/>
        <v>1</v>
      </c>
      <c r="AQ163" s="80"/>
      <c r="AR163" s="93"/>
      <c r="AS163" s="82"/>
      <c r="AT163" s="344">
        <v>0</v>
      </c>
      <c r="AU163" s="329">
        <f>+AT163/AK163</f>
        <v>0</v>
      </c>
      <c r="AV163" s="311"/>
      <c r="AW163" s="311"/>
      <c r="AX163" s="311"/>
      <c r="AY163" s="311"/>
      <c r="AZ163" s="311"/>
      <c r="BA163" s="311"/>
      <c r="BB163" s="311"/>
      <c r="BC163" s="328"/>
      <c r="BD163" s="317">
        <f>0+AK163</f>
        <v>1500000</v>
      </c>
      <c r="BE163" s="312">
        <f t="shared" ref="BE163:BE169" si="396">+AL163+AM163+AN163+AO163</f>
        <v>1500000</v>
      </c>
      <c r="BF163" s="328">
        <f t="shared" si="385"/>
        <v>1</v>
      </c>
      <c r="BG163" s="312">
        <f t="shared" ref="BG163:BG169" si="397">SUM(AQ163:AT163)+AX163+AZ163+BB163</f>
        <v>0</v>
      </c>
      <c r="BH163" s="328">
        <f t="shared" si="386"/>
        <v>0</v>
      </c>
      <c r="BI163" s="85"/>
      <c r="BJ163" s="254" t="s">
        <v>81</v>
      </c>
      <c r="BK163" s="254" t="s">
        <v>83</v>
      </c>
      <c r="BL163" s="231" t="s">
        <v>230</v>
      </c>
      <c r="BM163" s="139"/>
      <c r="BN163" s="139"/>
      <c r="BO163" s="139"/>
    </row>
    <row r="164" spans="1:67" ht="33" customHeight="1">
      <c r="A164" s="231" t="s">
        <v>897</v>
      </c>
      <c r="B164" s="241" t="s">
        <v>898</v>
      </c>
      <c r="C164" s="241" t="s">
        <v>241</v>
      </c>
      <c r="D164" s="64">
        <v>2</v>
      </c>
      <c r="E164" s="65">
        <v>6</v>
      </c>
      <c r="F164" s="220">
        <v>8</v>
      </c>
      <c r="G164" s="141">
        <v>8</v>
      </c>
      <c r="H164" s="64">
        <v>2</v>
      </c>
      <c r="I164" s="65">
        <v>6</v>
      </c>
      <c r="J164" s="67">
        <v>8</v>
      </c>
      <c r="K164" s="233">
        <v>8</v>
      </c>
      <c r="L164" s="68"/>
      <c r="M164" s="69"/>
      <c r="N164" s="69"/>
      <c r="O164" s="70">
        <f t="shared" ref="O164:Q164" si="398">IF((H164+L164)/D164&gt;=100%,100%,(H164+L164)/D164)</f>
        <v>1</v>
      </c>
      <c r="P164" s="71">
        <f t="shared" si="398"/>
        <v>1</v>
      </c>
      <c r="Q164" s="71">
        <f t="shared" si="398"/>
        <v>1</v>
      </c>
      <c r="R164" s="70">
        <f t="shared" si="392"/>
        <v>1</v>
      </c>
      <c r="S164" s="231" t="s">
        <v>899</v>
      </c>
      <c r="T164" s="253" t="s">
        <v>900</v>
      </c>
      <c r="U164" s="270" t="s">
        <v>901</v>
      </c>
      <c r="V164" s="231"/>
      <c r="W164" s="256" t="s">
        <v>902</v>
      </c>
      <c r="X164" s="72">
        <v>45230</v>
      </c>
      <c r="Y164" s="73"/>
      <c r="Z164" s="73"/>
      <c r="AA164" s="85"/>
      <c r="AB164" s="124"/>
      <c r="AC164" s="89">
        <f t="shared" si="393"/>
        <v>24</v>
      </c>
      <c r="AD164" s="89">
        <f t="shared" si="394"/>
        <v>24</v>
      </c>
      <c r="AE164" s="84">
        <f t="shared" si="395"/>
        <v>1</v>
      </c>
      <c r="AF164" s="54">
        <f t="shared" si="389"/>
        <v>0.16395000000000001</v>
      </c>
      <c r="AG164" s="94">
        <v>2.0199999999999999E-2</v>
      </c>
      <c r="AH164" s="284">
        <v>0.25</v>
      </c>
      <c r="AI164" s="84">
        <v>0.24279999999999999</v>
      </c>
      <c r="AJ164" s="84">
        <v>0.14280000000000001</v>
      </c>
      <c r="AK164" s="301">
        <v>0</v>
      </c>
      <c r="AL164" s="301">
        <v>41722815</v>
      </c>
      <c r="AM164" s="301">
        <v>0</v>
      </c>
      <c r="AN164" s="301">
        <v>0</v>
      </c>
      <c r="AO164" s="301">
        <v>0</v>
      </c>
      <c r="AP164" s="79">
        <v>0</v>
      </c>
      <c r="AQ164" s="80"/>
      <c r="AR164" s="93"/>
      <c r="AS164" s="82"/>
      <c r="AT164" s="344">
        <v>0</v>
      </c>
      <c r="AU164" s="329">
        <v>0</v>
      </c>
      <c r="AV164" s="311"/>
      <c r="AW164" s="311"/>
      <c r="AX164" s="311"/>
      <c r="AY164" s="311"/>
      <c r="AZ164" s="311"/>
      <c r="BA164" s="311"/>
      <c r="BB164" s="311"/>
      <c r="BC164" s="328"/>
      <c r="BD164" s="317">
        <f>136009396+AK164</f>
        <v>136009396</v>
      </c>
      <c r="BE164" s="312">
        <f t="shared" si="396"/>
        <v>41722815</v>
      </c>
      <c r="BF164" s="328">
        <f t="shared" si="385"/>
        <v>0.30676421061380199</v>
      </c>
      <c r="BG164" s="312">
        <f t="shared" si="397"/>
        <v>0</v>
      </c>
      <c r="BH164" s="328">
        <f t="shared" si="386"/>
        <v>0</v>
      </c>
      <c r="BI164" s="85"/>
      <c r="BJ164" s="254" t="s">
        <v>81</v>
      </c>
      <c r="BK164" s="254" t="s">
        <v>83</v>
      </c>
      <c r="BL164" s="231" t="s">
        <v>230</v>
      </c>
      <c r="BM164" s="139"/>
      <c r="BN164" s="139"/>
      <c r="BO164" s="139"/>
    </row>
    <row r="165" spans="1:67" ht="70.5" customHeight="1">
      <c r="A165" s="231" t="s">
        <v>903</v>
      </c>
      <c r="B165" s="241" t="s">
        <v>904</v>
      </c>
      <c r="C165" s="241" t="s">
        <v>241</v>
      </c>
      <c r="D165" s="64">
        <v>1</v>
      </c>
      <c r="E165" s="65">
        <v>3</v>
      </c>
      <c r="F165" s="220">
        <v>3</v>
      </c>
      <c r="G165" s="221">
        <v>3</v>
      </c>
      <c r="H165" s="64">
        <v>1</v>
      </c>
      <c r="I165" s="65">
        <v>1</v>
      </c>
      <c r="J165" s="67">
        <v>2</v>
      </c>
      <c r="K165" s="234">
        <v>2</v>
      </c>
      <c r="L165" s="68"/>
      <c r="M165" s="69"/>
      <c r="N165" s="69"/>
      <c r="O165" s="70">
        <f t="shared" ref="O165:Q165" si="399">IF((H165+L165)/D165&gt;=100%,100%,(H165+L165)/D165)</f>
        <v>1</v>
      </c>
      <c r="P165" s="71">
        <f t="shared" si="399"/>
        <v>0.33333333333333331</v>
      </c>
      <c r="Q165" s="71">
        <f t="shared" si="399"/>
        <v>0.66666666666666663</v>
      </c>
      <c r="R165" s="70">
        <f t="shared" si="392"/>
        <v>0.66666666666666663</v>
      </c>
      <c r="S165" s="258" t="s">
        <v>905</v>
      </c>
      <c r="T165" s="253" t="s">
        <v>906</v>
      </c>
      <c r="U165" s="270" t="s">
        <v>907</v>
      </c>
      <c r="V165" s="231"/>
      <c r="W165" s="256" t="s">
        <v>908</v>
      </c>
      <c r="X165" s="72">
        <v>45230</v>
      </c>
      <c r="Y165" s="73"/>
      <c r="Z165" s="63"/>
      <c r="AA165" s="74"/>
      <c r="AB165" s="118"/>
      <c r="AC165" s="76">
        <f t="shared" si="393"/>
        <v>10</v>
      </c>
      <c r="AD165" s="76">
        <f t="shared" si="394"/>
        <v>6</v>
      </c>
      <c r="AE165" s="70">
        <f t="shared" si="395"/>
        <v>0.6</v>
      </c>
      <c r="AF165" s="54">
        <f t="shared" si="389"/>
        <v>0.31069999999999998</v>
      </c>
      <c r="AG165" s="77">
        <v>0.83</v>
      </c>
      <c r="AH165" s="285">
        <v>0.08</v>
      </c>
      <c r="AI165" s="70">
        <v>0.19</v>
      </c>
      <c r="AJ165" s="70">
        <v>0.14280000000000001</v>
      </c>
      <c r="AK165" s="301">
        <v>594448488</v>
      </c>
      <c r="AL165" s="301">
        <v>537936319</v>
      </c>
      <c r="AM165" s="301">
        <v>260900000</v>
      </c>
      <c r="AN165" s="301">
        <v>94217120</v>
      </c>
      <c r="AO165" s="301">
        <v>458870000</v>
      </c>
      <c r="AP165" s="79">
        <f t="shared" ref="AP165:AP166" si="400">+AO165/AK165</f>
        <v>0.77192559029605945</v>
      </c>
      <c r="AQ165" s="80"/>
      <c r="AR165" s="81"/>
      <c r="AS165" s="83"/>
      <c r="AT165" s="344">
        <v>0</v>
      </c>
      <c r="AU165" s="329">
        <f>+AT165/AK165</f>
        <v>0</v>
      </c>
      <c r="AV165" s="311"/>
      <c r="AW165" s="311"/>
      <c r="AX165" s="311"/>
      <c r="AY165" s="311"/>
      <c r="AZ165" s="311"/>
      <c r="BA165" s="311"/>
      <c r="BB165" s="311"/>
      <c r="BC165" s="328"/>
      <c r="BD165" s="317">
        <f>981632239+AK165</f>
        <v>1576080727</v>
      </c>
      <c r="BE165" s="312">
        <f t="shared" si="396"/>
        <v>1351923439</v>
      </c>
      <c r="BF165" s="328">
        <f t="shared" si="385"/>
        <v>0.85777550339907171</v>
      </c>
      <c r="BG165" s="312">
        <f t="shared" si="397"/>
        <v>0</v>
      </c>
      <c r="BH165" s="328">
        <f t="shared" si="386"/>
        <v>0</v>
      </c>
      <c r="BI165" s="85"/>
      <c r="BJ165" s="254" t="s">
        <v>71</v>
      </c>
      <c r="BK165" s="254" t="s">
        <v>83</v>
      </c>
      <c r="BL165" s="279" t="s">
        <v>225</v>
      </c>
      <c r="BM165" s="137"/>
      <c r="BN165" s="137"/>
      <c r="BO165" s="137"/>
    </row>
    <row r="166" spans="1:67" ht="48" customHeight="1">
      <c r="A166" s="231" t="s">
        <v>909</v>
      </c>
      <c r="B166" s="241" t="s">
        <v>910</v>
      </c>
      <c r="C166" s="241" t="s">
        <v>241</v>
      </c>
      <c r="D166" s="64">
        <v>0</v>
      </c>
      <c r="E166" s="65">
        <v>1</v>
      </c>
      <c r="F166" s="220">
        <v>0</v>
      </c>
      <c r="G166" s="221">
        <v>0</v>
      </c>
      <c r="H166" s="64">
        <v>0</v>
      </c>
      <c r="I166" s="65">
        <v>0</v>
      </c>
      <c r="J166" s="67">
        <v>0</v>
      </c>
      <c r="K166" s="234">
        <v>0</v>
      </c>
      <c r="L166" s="68"/>
      <c r="M166" s="69"/>
      <c r="N166" s="69"/>
      <c r="O166" s="70">
        <v>1</v>
      </c>
      <c r="P166" s="71">
        <f>IF((I166+M166)/E166&gt;=100%,100%,(I166+M166)/E166)</f>
        <v>0</v>
      </c>
      <c r="Q166" s="71">
        <v>0</v>
      </c>
      <c r="R166" s="70">
        <v>0</v>
      </c>
      <c r="S166" s="258"/>
      <c r="T166" s="253" t="s">
        <v>529</v>
      </c>
      <c r="U166" s="270"/>
      <c r="V166" s="231"/>
      <c r="W166" s="272"/>
      <c r="X166" s="72">
        <v>45230</v>
      </c>
      <c r="Y166" s="73"/>
      <c r="Z166" s="63"/>
      <c r="AA166" s="74"/>
      <c r="AB166" s="118"/>
      <c r="AC166" s="76">
        <f t="shared" si="393"/>
        <v>1</v>
      </c>
      <c r="AD166" s="76">
        <f t="shared" si="394"/>
        <v>0</v>
      </c>
      <c r="AE166" s="70">
        <f t="shared" si="395"/>
        <v>0</v>
      </c>
      <c r="AF166" s="54">
        <f t="shared" si="389"/>
        <v>3.8200000000000005E-2</v>
      </c>
      <c r="AG166" s="77">
        <v>0</v>
      </c>
      <c r="AH166" s="285">
        <v>0.01</v>
      </c>
      <c r="AI166" s="70">
        <v>0</v>
      </c>
      <c r="AJ166" s="70">
        <v>0.14280000000000001</v>
      </c>
      <c r="AK166" s="301">
        <v>65000000</v>
      </c>
      <c r="AL166" s="301">
        <v>0</v>
      </c>
      <c r="AM166" s="301">
        <v>0</v>
      </c>
      <c r="AN166" s="301">
        <v>0</v>
      </c>
      <c r="AO166" s="301">
        <v>0</v>
      </c>
      <c r="AP166" s="79">
        <f t="shared" si="400"/>
        <v>0</v>
      </c>
      <c r="AQ166" s="80"/>
      <c r="AR166" s="81"/>
      <c r="AS166" s="83"/>
      <c r="AT166" s="344">
        <v>0</v>
      </c>
      <c r="AU166" s="329">
        <f>+AT166/AK166</f>
        <v>0</v>
      </c>
      <c r="AV166" s="311"/>
      <c r="AW166" s="311"/>
      <c r="AX166" s="311"/>
      <c r="AY166" s="311"/>
      <c r="AZ166" s="311"/>
      <c r="BA166" s="311"/>
      <c r="BB166" s="311"/>
      <c r="BC166" s="328"/>
      <c r="BD166" s="317">
        <f>0+AK166</f>
        <v>65000000</v>
      </c>
      <c r="BE166" s="312">
        <f t="shared" si="396"/>
        <v>0</v>
      </c>
      <c r="BF166" s="328">
        <f t="shared" si="385"/>
        <v>0</v>
      </c>
      <c r="BG166" s="312">
        <f t="shared" si="397"/>
        <v>0</v>
      </c>
      <c r="BH166" s="328">
        <f t="shared" si="386"/>
        <v>0</v>
      </c>
      <c r="BI166" s="85"/>
      <c r="BJ166" s="254" t="s">
        <v>71</v>
      </c>
      <c r="BK166" s="254" t="s">
        <v>80</v>
      </c>
      <c r="BL166" s="279" t="s">
        <v>230</v>
      </c>
      <c r="BM166" s="137"/>
      <c r="BN166" s="137"/>
      <c r="BO166" s="137"/>
    </row>
    <row r="167" spans="1:67" ht="33" customHeight="1">
      <c r="A167" s="231" t="s">
        <v>911</v>
      </c>
      <c r="B167" s="241" t="s">
        <v>912</v>
      </c>
      <c r="C167" s="241" t="s">
        <v>241</v>
      </c>
      <c r="D167" s="64">
        <v>1</v>
      </c>
      <c r="E167" s="65">
        <v>1</v>
      </c>
      <c r="F167" s="220">
        <v>1</v>
      </c>
      <c r="G167" s="221">
        <v>0</v>
      </c>
      <c r="H167" s="64">
        <v>1</v>
      </c>
      <c r="I167" s="65">
        <v>0</v>
      </c>
      <c r="J167" s="67">
        <v>1</v>
      </c>
      <c r="K167" s="234">
        <v>0</v>
      </c>
      <c r="L167" s="68"/>
      <c r="M167" s="69"/>
      <c r="N167" s="69"/>
      <c r="O167" s="70">
        <f t="shared" ref="O167:Q167" si="401">IF((H167+L167)/D167&gt;=100%,100%,(H167+L167)/D167)</f>
        <v>1</v>
      </c>
      <c r="P167" s="71">
        <f t="shared" si="401"/>
        <v>0</v>
      </c>
      <c r="Q167" s="71">
        <f t="shared" si="401"/>
        <v>1</v>
      </c>
      <c r="R167" s="70">
        <v>0</v>
      </c>
      <c r="S167" s="258" t="s">
        <v>285</v>
      </c>
      <c r="T167" s="253" t="s">
        <v>913</v>
      </c>
      <c r="U167" s="270" t="s">
        <v>914</v>
      </c>
      <c r="V167" s="231"/>
      <c r="W167" s="256" t="s">
        <v>915</v>
      </c>
      <c r="X167" s="72">
        <v>45230</v>
      </c>
      <c r="Y167" s="73"/>
      <c r="Z167" s="63"/>
      <c r="AA167" s="74"/>
      <c r="AB167" s="118"/>
      <c r="AC167" s="76">
        <f t="shared" si="393"/>
        <v>3</v>
      </c>
      <c r="AD167" s="76">
        <f t="shared" si="394"/>
        <v>2</v>
      </c>
      <c r="AE167" s="70">
        <f t="shared" si="395"/>
        <v>0.66666666666666663</v>
      </c>
      <c r="AF167" s="54">
        <f t="shared" si="389"/>
        <v>9.1400000000000009E-2</v>
      </c>
      <c r="AG167" s="77">
        <v>0</v>
      </c>
      <c r="AH167" s="285">
        <v>0.03</v>
      </c>
      <c r="AI167" s="70">
        <v>0.1928</v>
      </c>
      <c r="AJ167" s="70">
        <v>0.14280000000000001</v>
      </c>
      <c r="AK167" s="301">
        <v>0</v>
      </c>
      <c r="AL167" s="301">
        <v>0</v>
      </c>
      <c r="AM167" s="301">
        <v>28324563</v>
      </c>
      <c r="AN167" s="301">
        <v>0</v>
      </c>
      <c r="AO167" s="301">
        <v>0</v>
      </c>
      <c r="AP167" s="79">
        <v>0</v>
      </c>
      <c r="AQ167" s="80"/>
      <c r="AR167" s="81"/>
      <c r="AS167" s="83"/>
      <c r="AT167" s="344">
        <v>0</v>
      </c>
      <c r="AU167" s="329">
        <v>0</v>
      </c>
      <c r="AV167" s="311"/>
      <c r="AW167" s="311"/>
      <c r="AX167" s="311"/>
      <c r="AY167" s="311"/>
      <c r="AZ167" s="311"/>
      <c r="BA167" s="311"/>
      <c r="BB167" s="311"/>
      <c r="BC167" s="328"/>
      <c r="BD167" s="317">
        <f>30000000+AK167</f>
        <v>30000000</v>
      </c>
      <c r="BE167" s="312">
        <f t="shared" si="396"/>
        <v>28324563</v>
      </c>
      <c r="BF167" s="328">
        <f t="shared" si="385"/>
        <v>0.94415210000000005</v>
      </c>
      <c r="BG167" s="312">
        <f t="shared" si="397"/>
        <v>0</v>
      </c>
      <c r="BH167" s="328">
        <f t="shared" si="386"/>
        <v>0</v>
      </c>
      <c r="BI167" s="85"/>
      <c r="BJ167" s="254" t="s">
        <v>71</v>
      </c>
      <c r="BK167" s="254" t="s">
        <v>83</v>
      </c>
      <c r="BL167" s="279" t="s">
        <v>335</v>
      </c>
      <c r="BM167" s="137"/>
      <c r="BN167" s="137"/>
      <c r="BO167" s="137"/>
    </row>
    <row r="168" spans="1:67" ht="63" customHeight="1">
      <c r="A168" s="231" t="s">
        <v>916</v>
      </c>
      <c r="B168" s="241" t="s">
        <v>917</v>
      </c>
      <c r="C168" s="241" t="s">
        <v>241</v>
      </c>
      <c r="D168" s="64">
        <v>1</v>
      </c>
      <c r="E168" s="65">
        <v>1</v>
      </c>
      <c r="F168" s="220">
        <v>1</v>
      </c>
      <c r="G168" s="221">
        <v>1</v>
      </c>
      <c r="H168" s="64">
        <v>1</v>
      </c>
      <c r="I168" s="65">
        <v>1</v>
      </c>
      <c r="J168" s="67">
        <v>1</v>
      </c>
      <c r="K168" s="234">
        <v>1</v>
      </c>
      <c r="L168" s="68"/>
      <c r="M168" s="69"/>
      <c r="N168" s="69"/>
      <c r="O168" s="70">
        <f t="shared" ref="O168:Q168" si="402">IF((H168+L168)/D168&gt;=100%,100%,(H168+L168)/D168)</f>
        <v>1</v>
      </c>
      <c r="P168" s="71">
        <f t="shared" si="402"/>
        <v>1</v>
      </c>
      <c r="Q168" s="71">
        <f t="shared" si="402"/>
        <v>1</v>
      </c>
      <c r="R168" s="70">
        <f>IF(K168/G168&gt;=100%,100%,K168/G168)</f>
        <v>1</v>
      </c>
      <c r="S168" s="258" t="s">
        <v>918</v>
      </c>
      <c r="T168" s="253" t="s">
        <v>696</v>
      </c>
      <c r="U168" s="270" t="s">
        <v>919</v>
      </c>
      <c r="V168" s="231"/>
      <c r="W168" s="272"/>
      <c r="X168" s="72">
        <v>45230</v>
      </c>
      <c r="Y168" s="73"/>
      <c r="Z168" s="63"/>
      <c r="AA168" s="74"/>
      <c r="AB168" s="118"/>
      <c r="AC168" s="76">
        <f t="shared" si="393"/>
        <v>4</v>
      </c>
      <c r="AD168" s="76">
        <f t="shared" si="394"/>
        <v>4</v>
      </c>
      <c r="AE168" s="70">
        <f t="shared" si="395"/>
        <v>1</v>
      </c>
      <c r="AF168" s="54">
        <f t="shared" si="389"/>
        <v>0.12820000000000001</v>
      </c>
      <c r="AG168" s="77">
        <v>0.13</v>
      </c>
      <c r="AH168" s="285">
        <v>7.0000000000000007E-2</v>
      </c>
      <c r="AI168" s="70">
        <v>0.17</v>
      </c>
      <c r="AJ168" s="70">
        <v>0.14280000000000001</v>
      </c>
      <c r="AK168" s="301">
        <v>30000000</v>
      </c>
      <c r="AL168" s="301">
        <v>109135582</v>
      </c>
      <c r="AM168" s="301">
        <v>86564920</v>
      </c>
      <c r="AN168" s="301">
        <v>0</v>
      </c>
      <c r="AO168" s="301">
        <v>0</v>
      </c>
      <c r="AP168" s="79">
        <f>+AO168/AK168</f>
        <v>0</v>
      </c>
      <c r="AQ168" s="80"/>
      <c r="AR168" s="81"/>
      <c r="AS168" s="83"/>
      <c r="AT168" s="344">
        <v>0</v>
      </c>
      <c r="AU168" s="329">
        <f>+AT168/AK168</f>
        <v>0</v>
      </c>
      <c r="AV168" s="311"/>
      <c r="AW168" s="311"/>
      <c r="AX168" s="311"/>
      <c r="AY168" s="311"/>
      <c r="AZ168" s="311"/>
      <c r="BA168" s="311"/>
      <c r="BB168" s="311"/>
      <c r="BC168" s="328"/>
      <c r="BD168" s="317">
        <f>196635980+AK168</f>
        <v>226635980</v>
      </c>
      <c r="BE168" s="312">
        <f t="shared" si="396"/>
        <v>195700502</v>
      </c>
      <c r="BF168" s="328">
        <f t="shared" si="385"/>
        <v>0.86350147050790438</v>
      </c>
      <c r="BG168" s="312">
        <f t="shared" si="397"/>
        <v>0</v>
      </c>
      <c r="BH168" s="328">
        <f t="shared" si="386"/>
        <v>0</v>
      </c>
      <c r="BI168" s="85"/>
      <c r="BJ168" s="254" t="s">
        <v>67</v>
      </c>
      <c r="BK168" s="254" t="s">
        <v>83</v>
      </c>
      <c r="BL168" s="279" t="s">
        <v>225</v>
      </c>
      <c r="BM168" s="137"/>
      <c r="BN168" s="137"/>
      <c r="BO168" s="137"/>
    </row>
    <row r="169" spans="1:67" ht="78" customHeight="1">
      <c r="A169" s="231" t="s">
        <v>920</v>
      </c>
      <c r="B169" s="241" t="s">
        <v>921</v>
      </c>
      <c r="C169" s="241" t="s">
        <v>241</v>
      </c>
      <c r="D169" s="64">
        <v>0</v>
      </c>
      <c r="E169" s="65">
        <v>0</v>
      </c>
      <c r="F169" s="220">
        <v>1</v>
      </c>
      <c r="G169" s="221">
        <v>0</v>
      </c>
      <c r="H169" s="64">
        <v>0</v>
      </c>
      <c r="I169" s="65">
        <v>0</v>
      </c>
      <c r="J169" s="67">
        <v>0</v>
      </c>
      <c r="K169" s="234">
        <v>0</v>
      </c>
      <c r="L169" s="68"/>
      <c r="M169" s="69"/>
      <c r="N169" s="69"/>
      <c r="O169" s="70">
        <v>0</v>
      </c>
      <c r="P169" s="71">
        <v>0</v>
      </c>
      <c r="Q169" s="71">
        <f>IF((J169+N169)/F169&gt;=100%,100%,(J169+N169)/F169)</f>
        <v>0</v>
      </c>
      <c r="R169" s="70">
        <v>0</v>
      </c>
      <c r="S169" s="258"/>
      <c r="T169" s="253" t="s">
        <v>922</v>
      </c>
      <c r="U169" s="270"/>
      <c r="V169" s="231"/>
      <c r="W169" s="231"/>
      <c r="X169" s="72">
        <v>45230</v>
      </c>
      <c r="Y169" s="73"/>
      <c r="Z169" s="63"/>
      <c r="AA169" s="74"/>
      <c r="AB169" s="118"/>
      <c r="AC169" s="76">
        <f t="shared" si="393"/>
        <v>1</v>
      </c>
      <c r="AD169" s="76">
        <f t="shared" si="394"/>
        <v>0</v>
      </c>
      <c r="AE169" s="70">
        <f t="shared" si="395"/>
        <v>0</v>
      </c>
      <c r="AF169" s="54">
        <f t="shared" si="389"/>
        <v>5.0700000000000002E-2</v>
      </c>
      <c r="AG169" s="77">
        <v>0.06</v>
      </c>
      <c r="AH169" s="285">
        <v>0</v>
      </c>
      <c r="AI169" s="70">
        <v>0</v>
      </c>
      <c r="AJ169" s="70">
        <v>0.14280000000000001</v>
      </c>
      <c r="AK169" s="301">
        <v>0</v>
      </c>
      <c r="AL169" s="301">
        <v>0</v>
      </c>
      <c r="AM169" s="301">
        <v>0</v>
      </c>
      <c r="AN169" s="301">
        <v>0</v>
      </c>
      <c r="AO169" s="301">
        <v>0</v>
      </c>
      <c r="AP169" s="79">
        <v>0</v>
      </c>
      <c r="AQ169" s="80"/>
      <c r="AR169" s="81"/>
      <c r="AS169" s="83"/>
      <c r="AT169" s="344">
        <v>0</v>
      </c>
      <c r="AU169" s="329">
        <v>0</v>
      </c>
      <c r="AV169" s="311"/>
      <c r="AW169" s="311"/>
      <c r="AX169" s="311"/>
      <c r="AY169" s="311"/>
      <c r="AZ169" s="311"/>
      <c r="BA169" s="311"/>
      <c r="BB169" s="311"/>
      <c r="BC169" s="328"/>
      <c r="BD169" s="317">
        <f>0+AK169</f>
        <v>0</v>
      </c>
      <c r="BE169" s="312">
        <f t="shared" si="396"/>
        <v>0</v>
      </c>
      <c r="BF169" s="328">
        <v>0</v>
      </c>
      <c r="BG169" s="312">
        <f t="shared" si="397"/>
        <v>0</v>
      </c>
      <c r="BH169" s="328"/>
      <c r="BI169" s="85"/>
      <c r="BJ169" s="254" t="s">
        <v>67</v>
      </c>
      <c r="BK169" s="254" t="s">
        <v>89</v>
      </c>
      <c r="BL169" s="279" t="s">
        <v>230</v>
      </c>
      <c r="BM169" s="137"/>
      <c r="BN169" s="137"/>
      <c r="BO169" s="137"/>
    </row>
    <row r="170" spans="1:67" ht="37.5" customHeight="1">
      <c r="A170" s="195" t="s">
        <v>923</v>
      </c>
      <c r="B170" s="53"/>
      <c r="C170" s="53"/>
      <c r="D170" s="53"/>
      <c r="E170" s="53"/>
      <c r="F170" s="53"/>
      <c r="G170" s="53"/>
      <c r="H170" s="53"/>
      <c r="I170" s="53"/>
      <c r="J170" s="53"/>
      <c r="K170" s="53"/>
      <c r="L170" s="53"/>
      <c r="M170" s="53"/>
      <c r="N170" s="53"/>
      <c r="O170" s="54">
        <f>+SUMPRODUCT(O171:O176,AG171:AG176)</f>
        <v>0.98827300000000007</v>
      </c>
      <c r="P170" s="54">
        <f>+SUMPRODUCT(P171:P176,AH171:AH176)</f>
        <v>0.99099999999999988</v>
      </c>
      <c r="Q170" s="54">
        <f>+SUMPRODUCT(Q171:Q176,AI171:AI176)</f>
        <v>0.9782711999999999</v>
      </c>
      <c r="R170" s="54">
        <f>+SUMPRODUCT(R171:R176,AJ171:AJ176)</f>
        <v>0.95918283999999987</v>
      </c>
      <c r="S170" s="259"/>
      <c r="T170" s="259"/>
      <c r="U170" s="259"/>
      <c r="V170" s="259"/>
      <c r="W170" s="259"/>
      <c r="X170" s="55"/>
      <c r="Y170" s="56"/>
      <c r="Z170" s="56"/>
      <c r="AA170" s="56"/>
      <c r="AB170" s="56"/>
      <c r="AC170" s="57"/>
      <c r="AD170" s="57"/>
      <c r="AE170" s="54">
        <f>+SUMPRODUCT(AE171:AE176,AF171:AF176)</f>
        <v>0.98187834000000007</v>
      </c>
      <c r="AF170" s="54">
        <f t="shared" si="389"/>
        <v>0.5</v>
      </c>
      <c r="AG170" s="54">
        <v>0.5</v>
      </c>
      <c r="AH170" s="249">
        <v>0.5</v>
      </c>
      <c r="AI170" s="54">
        <v>0.5</v>
      </c>
      <c r="AJ170" s="54">
        <v>0.5</v>
      </c>
      <c r="AK170" s="296">
        <f t="shared" ref="AK170:AO170" si="403">SUM(AK171:AK176)</f>
        <v>1547549200</v>
      </c>
      <c r="AL170" s="296">
        <f t="shared" si="403"/>
        <v>662926495</v>
      </c>
      <c r="AM170" s="296">
        <f t="shared" si="403"/>
        <v>1251462118</v>
      </c>
      <c r="AN170" s="296">
        <f t="shared" si="403"/>
        <v>970308760</v>
      </c>
      <c r="AO170" s="296">
        <f t="shared" si="403"/>
        <v>1288959669</v>
      </c>
      <c r="AP170" s="59">
        <f t="shared" ref="AP170:AP172" si="404">+AO170/AK170</f>
        <v>0.8329038385338573</v>
      </c>
      <c r="AQ170" s="182"/>
      <c r="AR170" s="182"/>
      <c r="AS170" s="182"/>
      <c r="AT170" s="323">
        <f>+SUM(AT171:AT176)</f>
        <v>944107715</v>
      </c>
      <c r="AU170" s="331">
        <f>+AT170/AK170</f>
        <v>0.61006636493366417</v>
      </c>
      <c r="AV170" s="310"/>
      <c r="AW170" s="310"/>
      <c r="AX170" s="310"/>
      <c r="AY170" s="310"/>
      <c r="AZ170" s="310"/>
      <c r="BA170" s="310"/>
      <c r="BB170" s="310"/>
      <c r="BC170" s="325"/>
      <c r="BD170" s="300">
        <f t="shared" ref="BD170:BE170" si="405">SUM(BD171:BD176)</f>
        <v>4927209664</v>
      </c>
      <c r="BE170" s="300">
        <f t="shared" si="405"/>
        <v>4173657042</v>
      </c>
      <c r="BF170" s="325">
        <f t="shared" ref="BF170:BF177" si="406">+BE170/BD170</f>
        <v>0.84706300860186001</v>
      </c>
      <c r="BG170" s="300">
        <f>SUM(BG171:BG176)</f>
        <v>944107715</v>
      </c>
      <c r="BH170" s="325">
        <f>+BG170/BD170</f>
        <v>0.19161102923993614</v>
      </c>
      <c r="BI170" s="56"/>
      <c r="BJ170" s="350" t="s">
        <v>71</v>
      </c>
      <c r="BK170" s="350" t="s">
        <v>83</v>
      </c>
      <c r="BL170" s="350" t="s">
        <v>230</v>
      </c>
      <c r="BM170" s="62"/>
      <c r="BN170" s="62"/>
      <c r="BO170" s="62"/>
    </row>
    <row r="171" spans="1:67" ht="39" customHeight="1">
      <c r="A171" s="231" t="s">
        <v>228</v>
      </c>
      <c r="B171" s="244"/>
      <c r="C171" s="241" t="s">
        <v>229</v>
      </c>
      <c r="D171" s="64">
        <v>0</v>
      </c>
      <c r="E171" s="65">
        <v>100</v>
      </c>
      <c r="F171" s="220">
        <v>100</v>
      </c>
      <c r="G171" s="66">
        <v>100</v>
      </c>
      <c r="H171" s="246">
        <v>0</v>
      </c>
      <c r="I171" s="65">
        <v>95</v>
      </c>
      <c r="J171" s="67">
        <v>93.2</v>
      </c>
      <c r="K171" s="233">
        <v>75.739999999999995</v>
      </c>
      <c r="L171" s="68"/>
      <c r="M171" s="69"/>
      <c r="N171" s="69"/>
      <c r="O171" s="70">
        <v>0</v>
      </c>
      <c r="P171" s="71">
        <f t="shared" ref="P171:Q171" si="407">IF((I171+M171)/E171&gt;=100%,100%,(I171+M171)/E171)</f>
        <v>0.95</v>
      </c>
      <c r="Q171" s="71">
        <f t="shared" si="407"/>
        <v>0.93200000000000005</v>
      </c>
      <c r="R171" s="70">
        <f t="shared" ref="R171:R176" si="408">IF(K171/G171&gt;=100%,100%,K171/G171)</f>
        <v>0.75739999999999996</v>
      </c>
      <c r="S171" s="274"/>
      <c r="T171" s="274"/>
      <c r="U171" s="274"/>
      <c r="V171" s="231"/>
      <c r="W171" s="231"/>
      <c r="X171" s="72">
        <v>45230</v>
      </c>
      <c r="Y171" s="73"/>
      <c r="Z171" s="63"/>
      <c r="AA171" s="74"/>
      <c r="AB171" s="118"/>
      <c r="AC171" s="76">
        <f t="shared" ref="AC171:AC176" si="409">SUM(D171:G171)</f>
        <v>300</v>
      </c>
      <c r="AD171" s="76">
        <f t="shared" ref="AD171:AD176" si="410">SUM(H171:N171)</f>
        <v>263.94</v>
      </c>
      <c r="AE171" s="70">
        <f t="shared" ref="AE171:AE176" si="411">IF(AD171/AC171&gt;=100%,100%,AD171/AC171)</f>
        <v>0.87980000000000003</v>
      </c>
      <c r="AF171" s="54">
        <f t="shared" si="389"/>
        <v>0.1283</v>
      </c>
      <c r="AG171" s="77">
        <v>0</v>
      </c>
      <c r="AH171" s="289">
        <v>0.18</v>
      </c>
      <c r="AI171" s="70">
        <v>0.1666</v>
      </c>
      <c r="AJ171" s="70">
        <v>0.1666</v>
      </c>
      <c r="AK171" s="301">
        <v>468092200</v>
      </c>
      <c r="AL171" s="301">
        <v>0</v>
      </c>
      <c r="AM171" s="301">
        <f>262927684+687187</f>
        <v>263614871</v>
      </c>
      <c r="AN171" s="301">
        <v>344869538</v>
      </c>
      <c r="AO171" s="301">
        <v>354522570</v>
      </c>
      <c r="AP171" s="79">
        <f t="shared" si="404"/>
        <v>0.75737764910417216</v>
      </c>
      <c r="AQ171" s="80"/>
      <c r="AR171" s="81"/>
      <c r="AS171" s="83"/>
      <c r="AT171" s="343">
        <v>352530203</v>
      </c>
      <c r="AU171" s="329">
        <f>+AT171/AK171</f>
        <v>0.7531212931982203</v>
      </c>
      <c r="AV171" s="311"/>
      <c r="AW171" s="311"/>
      <c r="AX171" s="311"/>
      <c r="AY171" s="311"/>
      <c r="AZ171" s="311"/>
      <c r="BA171" s="311"/>
      <c r="BB171" s="311"/>
      <c r="BC171" s="328"/>
      <c r="BD171" s="317">
        <f>646152400+AK171</f>
        <v>1114244600</v>
      </c>
      <c r="BE171" s="312">
        <f t="shared" ref="BE171:BE176" si="412">+AL171+AM171+AN171+AO171</f>
        <v>963006979</v>
      </c>
      <c r="BF171" s="328">
        <f t="shared" si="406"/>
        <v>0.8642689217430356</v>
      </c>
      <c r="BG171" s="312">
        <f t="shared" ref="BG171:BG176" si="413">SUM(AQ171:AT171)+AX171+AZ171+BB171</f>
        <v>352530203</v>
      </c>
      <c r="BH171" s="328">
        <f t="shared" si="386"/>
        <v>0.31638493289534453</v>
      </c>
      <c r="BI171" s="85"/>
      <c r="BJ171" s="254" t="s">
        <v>81</v>
      </c>
      <c r="BK171" s="254" t="s">
        <v>83</v>
      </c>
      <c r="BL171" s="279" t="s">
        <v>230</v>
      </c>
      <c r="BM171" s="137"/>
      <c r="BN171" s="137"/>
      <c r="BO171" s="137"/>
    </row>
    <row r="172" spans="1:67" ht="29.25" customHeight="1">
      <c r="A172" s="231" t="s">
        <v>924</v>
      </c>
      <c r="B172" s="241" t="s">
        <v>925</v>
      </c>
      <c r="C172" s="241" t="s">
        <v>241</v>
      </c>
      <c r="D172" s="64">
        <v>1</v>
      </c>
      <c r="E172" s="65">
        <v>1</v>
      </c>
      <c r="F172" s="220">
        <v>1</v>
      </c>
      <c r="G172" s="222">
        <v>1</v>
      </c>
      <c r="H172" s="64">
        <v>1</v>
      </c>
      <c r="I172" s="65">
        <v>1</v>
      </c>
      <c r="J172" s="67">
        <v>1</v>
      </c>
      <c r="K172" s="234">
        <v>1</v>
      </c>
      <c r="L172" s="68"/>
      <c r="M172" s="69"/>
      <c r="N172" s="69"/>
      <c r="O172" s="70">
        <v>1</v>
      </c>
      <c r="P172" s="71">
        <f t="shared" ref="P172:Q172" si="414">IF((I172+M172)/E172&gt;=100%,100%,(I172+M172)/E172)</f>
        <v>1</v>
      </c>
      <c r="Q172" s="71">
        <f t="shared" si="414"/>
        <v>1</v>
      </c>
      <c r="R172" s="70">
        <f t="shared" si="408"/>
        <v>1</v>
      </c>
      <c r="S172" s="258" t="s">
        <v>926</v>
      </c>
      <c r="T172" s="253" t="s">
        <v>927</v>
      </c>
      <c r="U172" s="270" t="s">
        <v>928</v>
      </c>
      <c r="V172" s="231"/>
      <c r="W172" s="256" t="s">
        <v>929</v>
      </c>
      <c r="X172" s="72">
        <v>45230</v>
      </c>
      <c r="Y172" s="73"/>
      <c r="Z172" s="73"/>
      <c r="AA172" s="85"/>
      <c r="AB172" s="124"/>
      <c r="AC172" s="89">
        <f t="shared" si="409"/>
        <v>4</v>
      </c>
      <c r="AD172" s="89">
        <f t="shared" si="410"/>
        <v>4</v>
      </c>
      <c r="AE172" s="84">
        <f t="shared" si="411"/>
        <v>1</v>
      </c>
      <c r="AF172" s="54">
        <f t="shared" si="389"/>
        <v>0.1255</v>
      </c>
      <c r="AG172" s="94">
        <v>1.8800000000000001E-2</v>
      </c>
      <c r="AH172" s="284">
        <v>0.16</v>
      </c>
      <c r="AI172" s="84">
        <v>0.15659999999999999</v>
      </c>
      <c r="AJ172" s="84">
        <v>0.1666</v>
      </c>
      <c r="AK172" s="301">
        <v>20000000</v>
      </c>
      <c r="AL172" s="301">
        <v>7882404</v>
      </c>
      <c r="AM172" s="301">
        <v>93622400</v>
      </c>
      <c r="AN172" s="301">
        <v>143563720</v>
      </c>
      <c r="AO172" s="301">
        <v>18000000</v>
      </c>
      <c r="AP172" s="79">
        <f t="shared" si="404"/>
        <v>0.9</v>
      </c>
      <c r="AQ172" s="80"/>
      <c r="AR172" s="93"/>
      <c r="AS172" s="82"/>
      <c r="AT172" s="343">
        <v>6000000</v>
      </c>
      <c r="AU172" s="329">
        <f>+AT172/AK172</f>
        <v>0.3</v>
      </c>
      <c r="AV172" s="311"/>
      <c r="AW172" s="311"/>
      <c r="AX172" s="311"/>
      <c r="AY172" s="311"/>
      <c r="AZ172" s="311"/>
      <c r="BA172" s="311"/>
      <c r="BB172" s="311"/>
      <c r="BC172" s="328"/>
      <c r="BD172" s="317">
        <f>290926222+AK172</f>
        <v>310926222</v>
      </c>
      <c r="BE172" s="312">
        <f t="shared" si="412"/>
        <v>263068524</v>
      </c>
      <c r="BF172" s="328">
        <f t="shared" si="406"/>
        <v>0.84608021255923538</v>
      </c>
      <c r="BG172" s="312">
        <f t="shared" si="413"/>
        <v>6000000</v>
      </c>
      <c r="BH172" s="328">
        <f t="shared" si="386"/>
        <v>1.9297182339288194E-2</v>
      </c>
      <c r="BI172" s="85"/>
      <c r="BJ172" s="254" t="s">
        <v>71</v>
      </c>
      <c r="BK172" s="254" t="s">
        <v>83</v>
      </c>
      <c r="BL172" s="231" t="s">
        <v>230</v>
      </c>
      <c r="BM172" s="139"/>
      <c r="BN172" s="139"/>
      <c r="BO172" s="139"/>
    </row>
    <row r="173" spans="1:67" ht="32.25" customHeight="1">
      <c r="A173" s="231" t="s">
        <v>930</v>
      </c>
      <c r="B173" s="241" t="s">
        <v>931</v>
      </c>
      <c r="C173" s="241" t="s">
        <v>241</v>
      </c>
      <c r="D173" s="64">
        <v>1</v>
      </c>
      <c r="E173" s="65">
        <v>2</v>
      </c>
      <c r="F173" s="220">
        <v>3</v>
      </c>
      <c r="G173" s="222">
        <v>4</v>
      </c>
      <c r="H173" s="64">
        <v>1</v>
      </c>
      <c r="I173" s="65">
        <v>2</v>
      </c>
      <c r="J173" s="67">
        <v>3</v>
      </c>
      <c r="K173" s="234">
        <v>4</v>
      </c>
      <c r="L173" s="68"/>
      <c r="M173" s="69"/>
      <c r="N173" s="69"/>
      <c r="O173" s="70">
        <v>0.97</v>
      </c>
      <c r="P173" s="71">
        <f t="shared" ref="P173:Q173" si="415">IF((I173+M173)/E173&gt;=100%,100%,(I173+M173)/E173)</f>
        <v>1</v>
      </c>
      <c r="Q173" s="71">
        <f t="shared" si="415"/>
        <v>1</v>
      </c>
      <c r="R173" s="70">
        <f>IF(K173/G173&gt;=100%,100%,K173/G173)</f>
        <v>1</v>
      </c>
      <c r="S173" s="275" t="s">
        <v>932</v>
      </c>
      <c r="T173" s="247" t="s">
        <v>933</v>
      </c>
      <c r="U173" s="276" t="s">
        <v>934</v>
      </c>
      <c r="V173" s="281"/>
      <c r="W173" s="282" t="s">
        <v>935</v>
      </c>
      <c r="X173" s="72">
        <v>45230</v>
      </c>
      <c r="Y173" s="73"/>
      <c r="Z173" s="73"/>
      <c r="AA173" s="85"/>
      <c r="AB173" s="124"/>
      <c r="AC173" s="89">
        <f t="shared" si="409"/>
        <v>10</v>
      </c>
      <c r="AD173" s="89">
        <f t="shared" si="410"/>
        <v>10</v>
      </c>
      <c r="AE173" s="84">
        <f t="shared" si="411"/>
        <v>1</v>
      </c>
      <c r="AF173" s="54">
        <f t="shared" si="389"/>
        <v>0.18102499999999999</v>
      </c>
      <c r="AG173" s="94">
        <v>0.39090000000000003</v>
      </c>
      <c r="AH173" s="284">
        <v>0</v>
      </c>
      <c r="AI173" s="84">
        <v>0.1666</v>
      </c>
      <c r="AJ173" s="84">
        <v>0.1666</v>
      </c>
      <c r="AK173" s="301">
        <v>0</v>
      </c>
      <c r="AL173" s="301">
        <v>383990620</v>
      </c>
      <c r="AM173" s="301">
        <v>0</v>
      </c>
      <c r="AN173" s="301">
        <v>0</v>
      </c>
      <c r="AO173" s="301">
        <v>0</v>
      </c>
      <c r="AP173" s="79">
        <v>0</v>
      </c>
      <c r="AQ173" s="80"/>
      <c r="AR173" s="93"/>
      <c r="AS173" s="82"/>
      <c r="AT173" s="344">
        <v>0</v>
      </c>
      <c r="AU173" s="329">
        <v>0</v>
      </c>
      <c r="AV173" s="311"/>
      <c r="AW173" s="311"/>
      <c r="AX173" s="311"/>
      <c r="AY173" s="311"/>
      <c r="AZ173" s="311"/>
      <c r="BA173" s="311"/>
      <c r="BB173" s="311"/>
      <c r="BC173" s="328"/>
      <c r="BD173" s="317">
        <f>414816080+AK173</f>
        <v>414816080</v>
      </c>
      <c r="BE173" s="312">
        <f t="shared" si="412"/>
        <v>383990620</v>
      </c>
      <c r="BF173" s="328">
        <f t="shared" si="406"/>
        <v>0.92568884986329358</v>
      </c>
      <c r="BG173" s="312">
        <f t="shared" si="413"/>
        <v>0</v>
      </c>
      <c r="BH173" s="328">
        <f t="shared" si="386"/>
        <v>0</v>
      </c>
      <c r="BI173" s="85"/>
      <c r="BJ173" s="254" t="s">
        <v>71</v>
      </c>
      <c r="BK173" s="254" t="s">
        <v>83</v>
      </c>
      <c r="BL173" s="231" t="s">
        <v>230</v>
      </c>
      <c r="BM173" s="139"/>
      <c r="BN173" s="139"/>
      <c r="BO173" s="139"/>
    </row>
    <row r="174" spans="1:67" ht="26.25" customHeight="1">
      <c r="A174" s="231" t="s">
        <v>936</v>
      </c>
      <c r="B174" s="241" t="s">
        <v>937</v>
      </c>
      <c r="C174" s="241" t="s">
        <v>241</v>
      </c>
      <c r="D174" s="64">
        <v>1</v>
      </c>
      <c r="E174" s="65">
        <v>1</v>
      </c>
      <c r="F174" s="220">
        <v>1</v>
      </c>
      <c r="G174" s="222">
        <v>1</v>
      </c>
      <c r="H174" s="64">
        <v>1</v>
      </c>
      <c r="I174" s="65">
        <v>1</v>
      </c>
      <c r="J174" s="67">
        <v>1</v>
      </c>
      <c r="K174" s="234">
        <v>1</v>
      </c>
      <c r="L174" s="68"/>
      <c r="M174" s="69"/>
      <c r="N174" s="69"/>
      <c r="O174" s="70">
        <f t="shared" ref="O174:Q174" si="416">IF((H174+L174)/D174&gt;=100%,100%,(H174+L174)/D174)</f>
        <v>1</v>
      </c>
      <c r="P174" s="71">
        <f t="shared" si="416"/>
        <v>1</v>
      </c>
      <c r="Q174" s="71">
        <f t="shared" si="416"/>
        <v>1</v>
      </c>
      <c r="R174" s="70">
        <f t="shared" si="408"/>
        <v>1</v>
      </c>
      <c r="S174" s="275" t="s">
        <v>938</v>
      </c>
      <c r="T174" s="247" t="s">
        <v>939</v>
      </c>
      <c r="U174" s="277" t="s">
        <v>940</v>
      </c>
      <c r="V174" s="281"/>
      <c r="W174" s="283"/>
      <c r="X174" s="72">
        <v>45230</v>
      </c>
      <c r="Y174" s="73"/>
      <c r="Z174" s="73"/>
      <c r="AA174" s="85"/>
      <c r="AB174" s="124"/>
      <c r="AC174" s="89">
        <f t="shared" si="409"/>
        <v>4</v>
      </c>
      <c r="AD174" s="89">
        <f t="shared" si="410"/>
        <v>4</v>
      </c>
      <c r="AE174" s="84">
        <f t="shared" si="411"/>
        <v>1</v>
      </c>
      <c r="AF174" s="54">
        <f t="shared" si="389"/>
        <v>0.110375</v>
      </c>
      <c r="AG174" s="94">
        <v>2.8299999999999999E-2</v>
      </c>
      <c r="AH174" s="284">
        <v>0.08</v>
      </c>
      <c r="AI174" s="84">
        <v>0.1666</v>
      </c>
      <c r="AJ174" s="84">
        <v>0.1666</v>
      </c>
      <c r="AK174" s="301">
        <v>0</v>
      </c>
      <c r="AL174" s="301">
        <v>30000000</v>
      </c>
      <c r="AM174" s="301">
        <v>0</v>
      </c>
      <c r="AN174" s="301">
        <v>0</v>
      </c>
      <c r="AO174" s="301">
        <v>0</v>
      </c>
      <c r="AP174" s="79">
        <v>0</v>
      </c>
      <c r="AQ174" s="80"/>
      <c r="AR174" s="93"/>
      <c r="AS174" s="82"/>
      <c r="AT174" s="344">
        <v>0</v>
      </c>
      <c r="AU174" s="329">
        <v>0</v>
      </c>
      <c r="AV174" s="311"/>
      <c r="AW174" s="311"/>
      <c r="AX174" s="311"/>
      <c r="AY174" s="311"/>
      <c r="AZ174" s="311"/>
      <c r="BA174" s="311"/>
      <c r="BB174" s="311"/>
      <c r="BC174" s="328"/>
      <c r="BD174" s="317">
        <f>30000000+AK174</f>
        <v>30000000</v>
      </c>
      <c r="BE174" s="312">
        <f t="shared" si="412"/>
        <v>30000000</v>
      </c>
      <c r="BF174" s="328">
        <f t="shared" si="406"/>
        <v>1</v>
      </c>
      <c r="BG174" s="312">
        <f t="shared" si="413"/>
        <v>0</v>
      </c>
      <c r="BH174" s="328">
        <f t="shared" si="386"/>
        <v>0</v>
      </c>
      <c r="BI174" s="85"/>
      <c r="BJ174" s="254" t="s">
        <v>71</v>
      </c>
      <c r="BK174" s="254" t="s">
        <v>83</v>
      </c>
      <c r="BL174" s="231" t="s">
        <v>230</v>
      </c>
      <c r="BM174" s="139"/>
      <c r="BN174" s="139"/>
      <c r="BO174" s="139"/>
    </row>
    <row r="175" spans="1:67" ht="65.25" customHeight="1">
      <c r="A175" s="231" t="s">
        <v>941</v>
      </c>
      <c r="B175" s="241" t="s">
        <v>942</v>
      </c>
      <c r="C175" s="241" t="s">
        <v>241</v>
      </c>
      <c r="D175" s="64">
        <v>6</v>
      </c>
      <c r="E175" s="65">
        <v>6</v>
      </c>
      <c r="F175" s="220">
        <v>6</v>
      </c>
      <c r="G175" s="222">
        <v>6</v>
      </c>
      <c r="H175" s="64">
        <v>6</v>
      </c>
      <c r="I175" s="65">
        <v>6</v>
      </c>
      <c r="J175" s="67">
        <v>6</v>
      </c>
      <c r="K175" s="234">
        <v>6</v>
      </c>
      <c r="L175" s="68"/>
      <c r="M175" s="69"/>
      <c r="N175" s="69"/>
      <c r="O175" s="70">
        <v>1</v>
      </c>
      <c r="P175" s="71">
        <f t="shared" ref="P175:Q175" si="417">IF((I175+M175)/E175&gt;=100%,100%,(I175+M175)/E175)</f>
        <v>1</v>
      </c>
      <c r="Q175" s="71">
        <f t="shared" si="417"/>
        <v>1</v>
      </c>
      <c r="R175" s="70">
        <f t="shared" si="408"/>
        <v>1</v>
      </c>
      <c r="S175" s="275"/>
      <c r="T175" s="247" t="s">
        <v>943</v>
      </c>
      <c r="U175" s="276" t="s">
        <v>944</v>
      </c>
      <c r="V175" s="281"/>
      <c r="W175" s="282" t="s">
        <v>945</v>
      </c>
      <c r="X175" s="72">
        <v>45230</v>
      </c>
      <c r="Y175" s="73"/>
      <c r="Z175" s="73"/>
      <c r="AA175" s="85"/>
      <c r="AB175" s="124"/>
      <c r="AC175" s="89">
        <f t="shared" si="409"/>
        <v>24</v>
      </c>
      <c r="AD175" s="89">
        <f t="shared" si="410"/>
        <v>24</v>
      </c>
      <c r="AE175" s="84">
        <f t="shared" si="411"/>
        <v>1</v>
      </c>
      <c r="AF175" s="54">
        <f t="shared" si="389"/>
        <v>0.36880000000000002</v>
      </c>
      <c r="AG175" s="94">
        <v>0.56200000000000006</v>
      </c>
      <c r="AH175" s="294">
        <v>0.57999999999999996</v>
      </c>
      <c r="AI175" s="84">
        <v>0.1666</v>
      </c>
      <c r="AJ175" s="84">
        <v>0.1666</v>
      </c>
      <c r="AK175" s="301">
        <v>1034457000</v>
      </c>
      <c r="AL175" s="301">
        <v>241053471</v>
      </c>
      <c r="AM175" s="301">
        <v>894224847</v>
      </c>
      <c r="AN175" s="301">
        <v>461731759</v>
      </c>
      <c r="AO175" s="301">
        <v>891437099</v>
      </c>
      <c r="AP175" s="79">
        <f t="shared" ref="AP175:AP176" si="418">+AO175/AK175</f>
        <v>0.86174398645859618</v>
      </c>
      <c r="AQ175" s="80"/>
      <c r="AR175" s="93"/>
      <c r="AS175" s="82"/>
      <c r="AT175" s="343">
        <v>585577512</v>
      </c>
      <c r="AU175" s="329">
        <f>+AT175/AK175</f>
        <v>0.56607235680168433</v>
      </c>
      <c r="AV175" s="311"/>
      <c r="AW175" s="311"/>
      <c r="AX175" s="311"/>
      <c r="AY175" s="311"/>
      <c r="AZ175" s="311"/>
      <c r="BA175" s="311"/>
      <c r="BB175" s="311"/>
      <c r="BC175" s="328"/>
      <c r="BD175" s="317">
        <f>1952388487+AK175</f>
        <v>2986845487</v>
      </c>
      <c r="BE175" s="312">
        <f t="shared" si="412"/>
        <v>2488447176</v>
      </c>
      <c r="BF175" s="328">
        <f t="shared" si="406"/>
        <v>0.83313555616812529</v>
      </c>
      <c r="BG175" s="312">
        <f t="shared" si="413"/>
        <v>585577512</v>
      </c>
      <c r="BH175" s="328">
        <f t="shared" si="386"/>
        <v>0.19605216089974459</v>
      </c>
      <c r="BI175" s="85"/>
      <c r="BJ175" s="254" t="s">
        <v>71</v>
      </c>
      <c r="BK175" s="254" t="s">
        <v>99</v>
      </c>
      <c r="BL175" s="231" t="s">
        <v>230</v>
      </c>
      <c r="BM175" s="139"/>
      <c r="BN175" s="139"/>
      <c r="BO175" s="139"/>
    </row>
    <row r="176" spans="1:67" ht="67.5" customHeight="1">
      <c r="A176" s="231" t="s">
        <v>946</v>
      </c>
      <c r="B176" s="241" t="s">
        <v>947</v>
      </c>
      <c r="C176" s="241" t="s">
        <v>241</v>
      </c>
      <c r="D176" s="64">
        <v>0</v>
      </c>
      <c r="E176" s="65">
        <v>2</v>
      </c>
      <c r="F176" s="220">
        <v>3</v>
      </c>
      <c r="G176" s="222">
        <v>3</v>
      </c>
      <c r="H176" s="64">
        <v>0</v>
      </c>
      <c r="I176" s="65">
        <v>2</v>
      </c>
      <c r="J176" s="67">
        <v>3</v>
      </c>
      <c r="K176" s="234">
        <v>3</v>
      </c>
      <c r="L176" s="68"/>
      <c r="M176" s="69"/>
      <c r="N176" s="69"/>
      <c r="O176" s="70">
        <v>0</v>
      </c>
      <c r="P176" s="71">
        <f t="shared" ref="P176:Q176" si="419">IF((I176+M176)/E176&gt;=100%,100%,(I176+M176)/E176)</f>
        <v>1</v>
      </c>
      <c r="Q176" s="71">
        <f t="shared" si="419"/>
        <v>1</v>
      </c>
      <c r="R176" s="70">
        <f t="shared" si="408"/>
        <v>1</v>
      </c>
      <c r="S176" s="275" t="s">
        <v>948</v>
      </c>
      <c r="T176" s="247" t="s">
        <v>949</v>
      </c>
      <c r="U176" s="276" t="s">
        <v>950</v>
      </c>
      <c r="V176" s="281"/>
      <c r="W176" s="282" t="s">
        <v>951</v>
      </c>
      <c r="X176" s="72">
        <v>45230</v>
      </c>
      <c r="Y176" s="73"/>
      <c r="Z176" s="73"/>
      <c r="AA176" s="145"/>
      <c r="AB176" s="124"/>
      <c r="AC176" s="89">
        <f t="shared" si="409"/>
        <v>8</v>
      </c>
      <c r="AD176" s="89">
        <f t="shared" si="410"/>
        <v>8</v>
      </c>
      <c r="AE176" s="84">
        <f t="shared" si="411"/>
        <v>1</v>
      </c>
      <c r="AF176" s="54">
        <f t="shared" si="389"/>
        <v>8.3299999999999999E-2</v>
      </c>
      <c r="AG176" s="94">
        <v>0</v>
      </c>
      <c r="AH176" s="288">
        <v>0</v>
      </c>
      <c r="AI176" s="84">
        <v>0.1666</v>
      </c>
      <c r="AJ176" s="84">
        <v>0.1666</v>
      </c>
      <c r="AK176" s="301">
        <v>25000000</v>
      </c>
      <c r="AL176" s="301">
        <v>0</v>
      </c>
      <c r="AM176" s="301">
        <v>0</v>
      </c>
      <c r="AN176" s="301">
        <v>20143743</v>
      </c>
      <c r="AO176" s="301">
        <v>25000000</v>
      </c>
      <c r="AP176" s="79">
        <f t="shared" si="418"/>
        <v>1</v>
      </c>
      <c r="AQ176" s="80"/>
      <c r="AR176" s="93"/>
      <c r="AS176" s="82"/>
      <c r="AT176" s="344">
        <v>0</v>
      </c>
      <c r="AU176" s="329">
        <f>+AT176/AK176</f>
        <v>0</v>
      </c>
      <c r="AV176" s="311"/>
      <c r="AW176" s="311"/>
      <c r="AX176" s="311"/>
      <c r="AY176" s="311"/>
      <c r="AZ176" s="311"/>
      <c r="BA176" s="311"/>
      <c r="BB176" s="311"/>
      <c r="BC176" s="328" t="e">
        <f>+BB176/BA176</f>
        <v>#DIV/0!</v>
      </c>
      <c r="BD176" s="317">
        <f>45377275+AK176</f>
        <v>70377275</v>
      </c>
      <c r="BE176" s="312">
        <f t="shared" si="412"/>
        <v>45143743</v>
      </c>
      <c r="BF176" s="328">
        <f t="shared" si="406"/>
        <v>0.64145340949901797</v>
      </c>
      <c r="BG176" s="312">
        <f t="shared" si="413"/>
        <v>0</v>
      </c>
      <c r="BH176" s="328">
        <f t="shared" si="386"/>
        <v>0</v>
      </c>
      <c r="BI176" s="85"/>
      <c r="BJ176" s="254" t="s">
        <v>71</v>
      </c>
      <c r="BK176" s="254" t="s">
        <v>83</v>
      </c>
      <c r="BL176" s="231" t="s">
        <v>230</v>
      </c>
      <c r="BM176" s="139"/>
      <c r="BN176" s="139"/>
      <c r="BO176" s="139"/>
    </row>
    <row r="177" spans="1:67" ht="37.5" customHeight="1">
      <c r="A177" s="195" t="s">
        <v>952</v>
      </c>
      <c r="B177" s="240"/>
      <c r="C177" s="240"/>
      <c r="D177" s="240"/>
      <c r="E177" s="240"/>
      <c r="F177" s="240"/>
      <c r="G177" s="240"/>
      <c r="H177" s="240"/>
      <c r="I177" s="240"/>
      <c r="J177" s="240"/>
      <c r="K177" s="53"/>
      <c r="L177" s="53"/>
      <c r="M177" s="53"/>
      <c r="N177" s="53"/>
      <c r="O177" s="54">
        <f t="shared" ref="O177:R177" si="420">+(O160+O148+O127+O100+O81+O65+O29+O8)/8</f>
        <v>0.97781904349999993</v>
      </c>
      <c r="P177" s="54">
        <f t="shared" si="420"/>
        <v>0.89003427729166662</v>
      </c>
      <c r="Q177" s="54">
        <f t="shared" si="420"/>
        <v>0.92926321708481419</v>
      </c>
      <c r="R177" s="54">
        <f t="shared" si="420"/>
        <v>0.87218122049250979</v>
      </c>
      <c r="S177" s="202"/>
      <c r="T177" s="202"/>
      <c r="U177" s="202"/>
      <c r="V177" s="202"/>
      <c r="W177" s="202"/>
      <c r="X177" s="55"/>
      <c r="Y177" s="56"/>
      <c r="Z177" s="56"/>
      <c r="AA177" s="56"/>
      <c r="AB177" s="56"/>
      <c r="AC177" s="57"/>
      <c r="AD177" s="57"/>
      <c r="AE177" s="54">
        <f>+(AE160+AE148+AE127+AE100+AE81+AE65+AE29+AE8)/8</f>
        <v>0.89264580093568546</v>
      </c>
      <c r="AF177" s="54"/>
      <c r="AG177" s="54"/>
      <c r="AH177" s="54"/>
      <c r="AI177" s="54"/>
      <c r="AJ177" s="54"/>
      <c r="AK177" s="296">
        <f t="shared" ref="AK177:AO177" si="421">+AK8+AK29+AK65+AK81+AK100+AK127+AK148+AK160</f>
        <v>47997957502</v>
      </c>
      <c r="AL177" s="296">
        <f t="shared" si="421"/>
        <v>21399496060</v>
      </c>
      <c r="AM177" s="296">
        <f t="shared" si="421"/>
        <v>43877926971</v>
      </c>
      <c r="AN177" s="296">
        <f t="shared" si="421"/>
        <v>42028783522</v>
      </c>
      <c r="AO177" s="296">
        <f t="shared" si="421"/>
        <v>37216188873</v>
      </c>
      <c r="AP177" s="59">
        <f>AO177/AK177</f>
        <v>0.7753702617751862</v>
      </c>
      <c r="AQ177" s="182">
        <f t="shared" ref="AQ177:AS177" si="422">+AQ8+AQ29+AQ65+AQ81+AQ100+AQ127+AQ148+AQ160</f>
        <v>0</v>
      </c>
      <c r="AR177" s="182">
        <f t="shared" si="422"/>
        <v>0</v>
      </c>
      <c r="AS177" s="182">
        <f t="shared" si="422"/>
        <v>0</v>
      </c>
      <c r="AT177" s="323">
        <f>+AT160+AT148+AT127+AT100+AT81+AT65+AT29+AT8</f>
        <v>22617166771</v>
      </c>
      <c r="AU177" s="331">
        <f>+AT177/AK177</f>
        <v>0.47121102538701942</v>
      </c>
      <c r="AV177" s="310">
        <f t="shared" ref="AV177:BE177" si="423">+AV8+AV29+AV65+AV81+AV100+AV127+AV148+AV160</f>
        <v>0</v>
      </c>
      <c r="AW177" s="310">
        <f t="shared" si="423"/>
        <v>0</v>
      </c>
      <c r="AX177" s="310">
        <f t="shared" si="423"/>
        <v>0</v>
      </c>
      <c r="AY177" s="310">
        <f t="shared" si="423"/>
        <v>0</v>
      </c>
      <c r="AZ177" s="310">
        <f t="shared" si="423"/>
        <v>0</v>
      </c>
      <c r="BA177" s="310">
        <f t="shared" si="423"/>
        <v>0</v>
      </c>
      <c r="BB177" s="310">
        <f t="shared" si="423"/>
        <v>0</v>
      </c>
      <c r="BC177" s="325" t="e">
        <f t="shared" si="423"/>
        <v>#DIV/0!</v>
      </c>
      <c r="BD177" s="300">
        <f t="shared" si="423"/>
        <v>172739614118</v>
      </c>
      <c r="BE177" s="300">
        <f t="shared" si="423"/>
        <v>144522395426</v>
      </c>
      <c r="BF177" s="325">
        <f t="shared" si="406"/>
        <v>0.83664882640802607</v>
      </c>
      <c r="BG177" s="300">
        <f>+BG8+BG29+BG65+BG81+BG100+BG127+BG148+BG160</f>
        <v>22617166771</v>
      </c>
      <c r="BH177" s="325">
        <f>+BG177/BD177</f>
        <v>0.13093213671040163</v>
      </c>
      <c r="BI177" s="56"/>
      <c r="BJ177" s="350"/>
      <c r="BK177" s="350"/>
      <c r="BL177" s="350"/>
      <c r="BM177" s="62"/>
      <c r="BN177" s="62"/>
      <c r="BO177" s="62"/>
    </row>
    <row r="178" spans="1:67" ht="20.100000000000001" customHeight="1">
      <c r="A178" s="149"/>
      <c r="B178" s="197"/>
      <c r="C178" s="219"/>
      <c r="D178" s="219"/>
      <c r="E178" s="219"/>
      <c r="F178" s="219"/>
      <c r="G178" s="203"/>
      <c r="H178" s="203"/>
      <c r="I178" s="203"/>
      <c r="J178" s="203"/>
      <c r="K178" s="203"/>
      <c r="L178" s="203"/>
      <c r="M178" s="203"/>
      <c r="N178" s="203"/>
      <c r="O178" s="203"/>
      <c r="P178" s="203"/>
      <c r="Q178" s="203"/>
      <c r="R178" s="203"/>
      <c r="S178" s="203"/>
      <c r="T178" s="203"/>
      <c r="U178" s="203"/>
      <c r="V178" s="149"/>
      <c r="W178" s="197"/>
      <c r="X178" s="219"/>
      <c r="Y178" s="219"/>
      <c r="Z178" s="219"/>
      <c r="AA178" s="219"/>
      <c r="AB178" s="219"/>
      <c r="AC178" s="219"/>
      <c r="AD178" s="219"/>
      <c r="AE178" s="219"/>
      <c r="AF178" s="219"/>
      <c r="AG178" s="219"/>
      <c r="AH178" s="219"/>
      <c r="AI178" s="219"/>
      <c r="AJ178" s="219"/>
      <c r="AK178" s="226"/>
      <c r="AL178" s="226"/>
      <c r="AM178" s="226"/>
      <c r="AN178" s="227"/>
      <c r="AO178" s="227"/>
      <c r="AP178" s="219"/>
      <c r="AQ178" s="226"/>
      <c r="AR178" s="226"/>
      <c r="AS178" s="227"/>
      <c r="AT178" s="227"/>
      <c r="AU178" s="219"/>
      <c r="AV178" s="219"/>
      <c r="AW178" s="219"/>
      <c r="AX178" s="219"/>
      <c r="AY178" s="219"/>
      <c r="AZ178" s="219"/>
      <c r="BA178" s="219"/>
      <c r="BB178" s="219"/>
      <c r="BC178" s="219"/>
      <c r="BD178" s="219"/>
      <c r="BE178" s="228"/>
      <c r="BF178" s="219"/>
      <c r="BG178" s="228"/>
      <c r="BH178" s="219"/>
      <c r="BI178" s="229"/>
      <c r="BJ178" s="231"/>
      <c r="BK178" s="231"/>
      <c r="BL178" s="231"/>
      <c r="BM178" s="10"/>
      <c r="BN178" s="10"/>
      <c r="BO178" s="10"/>
    </row>
    <row r="179" spans="1:67" ht="20.100000000000001" customHeight="1">
      <c r="A179" s="1"/>
      <c r="B179" s="1"/>
      <c r="C179" s="1"/>
      <c r="D179" s="1"/>
      <c r="E179" s="150"/>
      <c r="F179" s="150"/>
      <c r="G179" s="151"/>
      <c r="H179" s="150"/>
      <c r="I179" s="150"/>
      <c r="J179" s="151"/>
      <c r="K179" s="150"/>
      <c r="L179" s="150"/>
      <c r="M179" s="151"/>
      <c r="N179" s="151"/>
      <c r="O179" s="151"/>
      <c r="P179" s="150"/>
      <c r="Q179" s="150"/>
      <c r="R179" s="150"/>
      <c r="S179" s="150"/>
      <c r="T179" s="150"/>
      <c r="U179" s="150"/>
      <c r="V179" s="1"/>
      <c r="W179" s="1"/>
      <c r="X179" s="1"/>
      <c r="Y179" s="1"/>
      <c r="Z179" s="1"/>
      <c r="AA179" s="1"/>
      <c r="AB179" s="1"/>
      <c r="AC179" s="150"/>
      <c r="AD179" s="150"/>
      <c r="AE179" s="150"/>
      <c r="AF179" s="1"/>
      <c r="AG179" s="1"/>
      <c r="AH179" s="1"/>
      <c r="AI179" s="1"/>
      <c r="AJ179" s="1"/>
      <c r="AK179" s="1"/>
      <c r="AL179" s="1"/>
      <c r="AM179" s="1"/>
      <c r="AN179" s="152"/>
      <c r="AO179" s="152"/>
      <c r="AP179" s="153"/>
      <c r="AQ179" s="153"/>
      <c r="AR179" s="153"/>
      <c r="AS179" s="152"/>
      <c r="AT179" s="152"/>
      <c r="AU179" s="154"/>
      <c r="AV179" s="1"/>
      <c r="AW179" s="155"/>
      <c r="AX179" s="155"/>
      <c r="AY179" s="1"/>
      <c r="AZ179" s="1"/>
      <c r="BA179" s="1"/>
      <c r="BB179" s="1"/>
      <c r="BC179" s="150"/>
      <c r="BD179" s="1"/>
      <c r="BE179" s="1"/>
      <c r="BF179" s="1"/>
      <c r="BG179" s="1"/>
      <c r="BH179" s="1"/>
      <c r="BI179" s="1"/>
      <c r="BJ179" s="272"/>
      <c r="BK179" s="272"/>
      <c r="BL179" s="272"/>
      <c r="BM179" s="10"/>
      <c r="BN179" s="10"/>
      <c r="BO179" s="10"/>
    </row>
    <row r="180" spans="1:67" ht="20.100000000000001" customHeight="1">
      <c r="A180" s="1"/>
      <c r="B180" s="1"/>
      <c r="C180" s="1"/>
      <c r="D180" s="1"/>
      <c r="E180" s="150"/>
      <c r="F180" s="150"/>
      <c r="G180" s="151"/>
      <c r="H180" s="150"/>
      <c r="I180" s="150"/>
      <c r="J180" s="151"/>
      <c r="K180" s="150"/>
      <c r="L180" s="150"/>
      <c r="M180" s="151"/>
      <c r="N180" s="151"/>
      <c r="O180" s="151"/>
      <c r="P180" s="150"/>
      <c r="Q180" s="150"/>
      <c r="R180" s="150"/>
      <c r="S180" s="150"/>
      <c r="T180" s="150"/>
      <c r="U180" s="150"/>
      <c r="V180" s="1"/>
      <c r="W180" s="1"/>
      <c r="X180" s="1"/>
      <c r="Y180" s="1"/>
      <c r="Z180" s="1"/>
      <c r="AA180" s="1"/>
      <c r="AB180" s="1"/>
      <c r="AC180" s="150"/>
      <c r="AD180" s="150"/>
      <c r="AE180" s="150"/>
      <c r="AF180" s="1"/>
      <c r="AG180" s="1"/>
      <c r="AH180" s="1"/>
      <c r="AI180" s="1"/>
      <c r="AJ180" s="1"/>
      <c r="AK180" s="1"/>
      <c r="AL180" s="1"/>
      <c r="AM180" s="1"/>
      <c r="AN180" s="152"/>
      <c r="AO180" s="152"/>
      <c r="AP180" s="153"/>
      <c r="AQ180" s="153"/>
      <c r="AR180" s="153"/>
      <c r="AS180" s="152"/>
      <c r="AT180" s="152"/>
      <c r="AU180" s="154"/>
      <c r="AV180" s="1"/>
      <c r="AW180" s="1"/>
      <c r="AX180" s="1"/>
      <c r="AY180" s="156"/>
      <c r="AZ180" s="1"/>
      <c r="BA180" s="156"/>
      <c r="BB180" s="1"/>
      <c r="BC180" s="150"/>
      <c r="BD180" s="1"/>
      <c r="BE180" s="1"/>
      <c r="BF180" s="1"/>
      <c r="BG180" s="1"/>
      <c r="BH180" s="1"/>
      <c r="BI180" s="1"/>
      <c r="BJ180" s="272"/>
      <c r="BK180" s="272"/>
      <c r="BL180" s="272"/>
      <c r="BM180" s="10"/>
      <c r="BN180" s="10"/>
      <c r="BO180" s="10"/>
    </row>
    <row r="181" spans="1:67" ht="20.100000000000001" customHeight="1">
      <c r="A181" s="157"/>
      <c r="B181" s="1"/>
      <c r="C181" s="157"/>
      <c r="D181" s="1"/>
      <c r="E181" s="150"/>
      <c r="F181" s="150"/>
      <c r="G181" s="151"/>
      <c r="H181" s="150"/>
      <c r="I181" s="150"/>
      <c r="J181" s="151"/>
      <c r="K181" s="151"/>
      <c r="L181" s="150"/>
      <c r="M181" s="151"/>
      <c r="N181" s="151"/>
      <c r="O181" s="151"/>
      <c r="P181" s="150"/>
      <c r="Q181" s="150"/>
      <c r="R181" s="158"/>
      <c r="S181" s="158"/>
      <c r="T181" s="158"/>
      <c r="U181" s="158"/>
      <c r="V181" s="1"/>
      <c r="W181" s="1"/>
      <c r="X181" s="157"/>
      <c r="Y181" s="157"/>
      <c r="Z181" s="157"/>
      <c r="AA181" s="157"/>
      <c r="AB181" s="157"/>
      <c r="AC181" s="151"/>
      <c r="AD181" s="151"/>
      <c r="AE181" s="151"/>
      <c r="AF181" s="157"/>
      <c r="AG181" s="157"/>
      <c r="AH181" s="157"/>
      <c r="AI181" s="157"/>
      <c r="AJ181" s="157"/>
      <c r="AK181" s="157"/>
      <c r="AL181" s="157"/>
      <c r="AM181" s="157"/>
      <c r="AN181" s="159"/>
      <c r="AO181" s="159"/>
      <c r="AP181" s="160"/>
      <c r="AQ181" s="160"/>
      <c r="AR181" s="160"/>
      <c r="AS181" s="159"/>
      <c r="AT181" s="159"/>
      <c r="AU181" s="161"/>
      <c r="AV181" s="157"/>
      <c r="AW181" s="157"/>
      <c r="AX181" s="157"/>
      <c r="AY181" s="157"/>
      <c r="AZ181" s="157"/>
      <c r="BA181" s="157"/>
      <c r="BB181" s="157"/>
      <c r="BC181" s="151"/>
      <c r="BD181" s="157"/>
      <c r="BE181" s="157"/>
      <c r="BF181" s="157"/>
      <c r="BG181" s="157"/>
      <c r="BH181" s="157"/>
      <c r="BI181" s="157"/>
      <c r="BJ181" s="353"/>
      <c r="BK181" s="353"/>
      <c r="BL181" s="353"/>
      <c r="BM181" s="14"/>
      <c r="BN181" s="14"/>
      <c r="BO181" s="14"/>
    </row>
    <row r="182" spans="1:67" ht="20.100000000000001" customHeight="1">
      <c r="A182" s="157"/>
      <c r="B182" s="1"/>
      <c r="C182" s="157"/>
      <c r="D182" s="1"/>
      <c r="E182" s="150"/>
      <c r="F182" s="150"/>
      <c r="G182" s="151"/>
      <c r="H182" s="150"/>
      <c r="I182" s="150"/>
      <c r="J182" s="151"/>
      <c r="K182" s="151"/>
      <c r="L182" s="150"/>
      <c r="M182" s="151"/>
      <c r="N182" s="151"/>
      <c r="O182" s="151"/>
      <c r="P182" s="150"/>
      <c r="Q182" s="150"/>
      <c r="R182" s="158"/>
      <c r="S182" s="158"/>
      <c r="T182" s="158"/>
      <c r="U182" s="158"/>
      <c r="V182" s="1"/>
      <c r="W182" s="1"/>
      <c r="X182" s="157"/>
      <c r="Y182" s="157"/>
      <c r="Z182" s="157"/>
      <c r="AA182" s="157"/>
      <c r="AB182" s="157"/>
      <c r="AC182" s="151"/>
      <c r="AD182" s="151"/>
      <c r="AE182" s="151"/>
      <c r="AF182" s="157"/>
      <c r="AG182" s="157"/>
      <c r="AH182" s="157"/>
      <c r="AI182" s="157"/>
      <c r="AJ182" s="157"/>
      <c r="AK182" s="157"/>
      <c r="AL182" s="157"/>
      <c r="AM182" s="157"/>
      <c r="AN182" s="159"/>
      <c r="AO182" s="159"/>
      <c r="AP182" s="160"/>
      <c r="AQ182" s="160"/>
      <c r="AR182" s="160"/>
      <c r="AS182" s="159"/>
      <c r="AT182" s="159"/>
      <c r="AU182" s="161"/>
      <c r="AV182" s="157"/>
      <c r="AW182" s="157"/>
      <c r="AX182" s="157"/>
      <c r="AY182" s="157"/>
      <c r="AZ182" s="157"/>
      <c r="BA182" s="157"/>
      <c r="BB182" s="157"/>
      <c r="BC182" s="151"/>
      <c r="BD182" s="157"/>
      <c r="BE182" s="157"/>
      <c r="BF182" s="157"/>
      <c r="BG182" s="157"/>
      <c r="BH182" s="157"/>
      <c r="BI182" s="157"/>
      <c r="BJ182" s="353"/>
      <c r="BK182" s="353"/>
      <c r="BL182" s="353"/>
      <c r="BM182" s="14"/>
      <c r="BN182" s="14"/>
      <c r="BO182" s="14"/>
    </row>
    <row r="183" spans="1:67" ht="20.100000000000001" customHeight="1">
      <c r="A183" s="157"/>
      <c r="B183" s="1"/>
      <c r="C183" s="157"/>
      <c r="D183" s="1"/>
      <c r="E183" s="150"/>
      <c r="F183" s="150"/>
      <c r="G183" s="151"/>
      <c r="H183" s="150"/>
      <c r="I183" s="150"/>
      <c r="J183" s="151"/>
      <c r="K183" s="151"/>
      <c r="L183" s="150"/>
      <c r="M183" s="151"/>
      <c r="N183" s="151"/>
      <c r="O183" s="151"/>
      <c r="P183" s="150"/>
      <c r="Q183" s="150"/>
      <c r="R183" s="158"/>
      <c r="S183" s="158"/>
      <c r="T183" s="158"/>
      <c r="U183" s="158"/>
      <c r="V183" s="1"/>
      <c r="W183" s="1"/>
      <c r="X183" s="157"/>
      <c r="Y183" s="157"/>
      <c r="Z183" s="157"/>
      <c r="AA183" s="157"/>
      <c r="AB183" s="157"/>
      <c r="AC183" s="151"/>
      <c r="AD183" s="151"/>
      <c r="AE183" s="151"/>
      <c r="AF183" s="157"/>
      <c r="AG183" s="157"/>
      <c r="AH183" s="157"/>
      <c r="AI183" s="157"/>
      <c r="AJ183" s="157"/>
      <c r="AK183" s="157"/>
      <c r="AL183" s="157"/>
      <c r="AM183" s="157"/>
      <c r="AN183" s="159"/>
      <c r="AO183" s="159"/>
      <c r="AP183" s="160"/>
      <c r="AQ183" s="160"/>
      <c r="AR183" s="160"/>
      <c r="AS183" s="159"/>
      <c r="AT183" s="159"/>
      <c r="AU183" s="161"/>
      <c r="AV183" s="157"/>
      <c r="AW183" s="157"/>
      <c r="AX183" s="157"/>
      <c r="AY183" s="162">
        <f>AY180-AY177</f>
        <v>0</v>
      </c>
      <c r="AZ183" s="157"/>
      <c r="BA183" s="162">
        <f>BA180-BA177</f>
        <v>0</v>
      </c>
      <c r="BB183" s="157"/>
      <c r="BC183" s="151"/>
      <c r="BD183" s="157"/>
      <c r="BE183" s="157"/>
      <c r="BF183" s="157"/>
      <c r="BG183" s="157"/>
      <c r="BH183" s="157"/>
      <c r="BI183" s="157"/>
      <c r="BJ183" s="353"/>
      <c r="BK183" s="353"/>
      <c r="BL183" s="353"/>
      <c r="BM183" s="14"/>
      <c r="BN183" s="14"/>
      <c r="BO183" s="14"/>
    </row>
    <row r="184" spans="1:67" ht="20.100000000000001" customHeight="1">
      <c r="A184" s="157"/>
      <c r="B184" s="1"/>
      <c r="C184" s="157"/>
      <c r="D184" s="1"/>
      <c r="E184" s="150"/>
      <c r="F184" s="150"/>
      <c r="G184" s="151"/>
      <c r="H184" s="150"/>
      <c r="I184" s="150"/>
      <c r="J184" s="151"/>
      <c r="K184" s="151"/>
      <c r="L184" s="150"/>
      <c r="M184" s="151"/>
      <c r="N184" s="151"/>
      <c r="O184" s="151"/>
      <c r="P184" s="150"/>
      <c r="Q184" s="150"/>
      <c r="R184" s="158"/>
      <c r="S184" s="158"/>
      <c r="T184" s="158"/>
      <c r="U184" s="158"/>
      <c r="V184" s="1"/>
      <c r="W184" s="1"/>
      <c r="X184" s="157"/>
      <c r="Y184" s="157"/>
      <c r="Z184" s="157"/>
      <c r="AA184" s="157"/>
      <c r="AB184" s="157"/>
      <c r="AC184" s="151"/>
      <c r="AD184" s="151"/>
      <c r="AE184" s="151"/>
      <c r="AF184" s="157"/>
      <c r="AG184" s="157"/>
      <c r="AH184" s="157"/>
      <c r="AI184" s="157"/>
      <c r="AJ184" s="157"/>
      <c r="AK184" s="157"/>
      <c r="AL184" s="157"/>
      <c r="AM184" s="157"/>
      <c r="AN184" s="159"/>
      <c r="AO184" s="159"/>
      <c r="AP184" s="160"/>
      <c r="AQ184" s="160"/>
      <c r="AR184" s="160"/>
      <c r="AS184" s="159"/>
      <c r="AT184" s="159"/>
      <c r="AU184" s="161"/>
      <c r="AV184" s="157"/>
      <c r="AW184" s="157"/>
      <c r="AX184" s="157"/>
      <c r="AY184" s="157"/>
      <c r="AZ184" s="157"/>
      <c r="BA184" s="157"/>
      <c r="BB184" s="157"/>
      <c r="BC184" s="151"/>
      <c r="BD184" s="157"/>
      <c r="BE184" s="157"/>
      <c r="BF184" s="157"/>
      <c r="BG184" s="157"/>
      <c r="BH184" s="157"/>
      <c r="BI184" s="157"/>
      <c r="BJ184" s="353"/>
      <c r="BK184" s="353"/>
      <c r="BL184" s="353"/>
      <c r="BM184" s="14"/>
      <c r="BN184" s="14"/>
      <c r="BO184" s="14"/>
    </row>
    <row r="185" spans="1:67" ht="20.100000000000001" customHeight="1">
      <c r="A185" s="157"/>
      <c r="B185" s="1"/>
      <c r="C185" s="157"/>
      <c r="D185" s="1"/>
      <c r="E185" s="150"/>
      <c r="F185" s="150"/>
      <c r="G185" s="151"/>
      <c r="H185" s="150"/>
      <c r="I185" s="150"/>
      <c r="J185" s="151"/>
      <c r="K185" s="151"/>
      <c r="L185" s="150"/>
      <c r="M185" s="151"/>
      <c r="N185" s="151"/>
      <c r="O185" s="151"/>
      <c r="P185" s="150"/>
      <c r="Q185" s="150"/>
      <c r="R185" s="158"/>
      <c r="S185" s="158"/>
      <c r="T185" s="158"/>
      <c r="U185" s="158"/>
      <c r="V185" s="1"/>
      <c r="W185" s="1"/>
      <c r="X185" s="157"/>
      <c r="Y185" s="157"/>
      <c r="Z185" s="157"/>
      <c r="AA185" s="157"/>
      <c r="AB185" s="157"/>
      <c r="AC185" s="151"/>
      <c r="AD185" s="151"/>
      <c r="AE185" s="151"/>
      <c r="AF185" s="157"/>
      <c r="AG185" s="157"/>
      <c r="AH185" s="157"/>
      <c r="AI185" s="157"/>
      <c r="AJ185" s="157"/>
      <c r="AK185" s="157"/>
      <c r="AL185" s="157"/>
      <c r="AM185" s="157"/>
      <c r="AN185" s="159"/>
      <c r="AO185" s="159"/>
      <c r="AP185" s="160"/>
      <c r="AQ185" s="160"/>
      <c r="AR185" s="160"/>
      <c r="AS185" s="159"/>
      <c r="AT185" s="159"/>
      <c r="AU185" s="161"/>
      <c r="AV185" s="157"/>
      <c r="AW185" s="157"/>
      <c r="AX185" s="157"/>
      <c r="AY185" s="157"/>
      <c r="AZ185" s="157"/>
      <c r="BA185" s="157"/>
      <c r="BB185" s="157"/>
      <c r="BC185" s="151"/>
      <c r="BD185" s="157"/>
      <c r="BE185" s="157"/>
      <c r="BF185" s="157"/>
      <c r="BG185" s="157"/>
      <c r="BH185" s="157"/>
      <c r="BI185" s="157"/>
      <c r="BJ185" s="353"/>
      <c r="BK185" s="353"/>
      <c r="BL185" s="353"/>
      <c r="BM185" s="14"/>
      <c r="BN185" s="14"/>
      <c r="BO185" s="14"/>
    </row>
    <row r="186" spans="1:67" ht="20.100000000000001" customHeight="1">
      <c r="A186" s="157"/>
      <c r="B186" s="1"/>
      <c r="C186" s="157"/>
      <c r="D186" s="1"/>
      <c r="E186" s="150"/>
      <c r="F186" s="150"/>
      <c r="G186" s="151"/>
      <c r="H186" s="150"/>
      <c r="I186" s="150"/>
      <c r="J186" s="151"/>
      <c r="K186" s="151"/>
      <c r="L186" s="150"/>
      <c r="M186" s="151"/>
      <c r="N186" s="151"/>
      <c r="O186" s="151"/>
      <c r="P186" s="150"/>
      <c r="Q186" s="150"/>
      <c r="R186" s="158"/>
      <c r="S186" s="158"/>
      <c r="T186" s="158"/>
      <c r="U186" s="158"/>
      <c r="V186" s="1"/>
      <c r="W186" s="1"/>
      <c r="X186" s="157"/>
      <c r="Y186" s="157"/>
      <c r="Z186" s="157"/>
      <c r="AA186" s="157"/>
      <c r="AB186" s="157"/>
      <c r="AC186" s="151"/>
      <c r="AD186" s="151"/>
      <c r="AE186" s="151"/>
      <c r="AF186" s="157"/>
      <c r="AG186" s="157"/>
      <c r="AH186" s="157"/>
      <c r="AI186" s="157"/>
      <c r="AJ186" s="157"/>
      <c r="AK186" s="157"/>
      <c r="AL186" s="157"/>
      <c r="AM186" s="157"/>
      <c r="AN186" s="159"/>
      <c r="AO186" s="159"/>
      <c r="AP186" s="160"/>
      <c r="AQ186" s="160"/>
      <c r="AR186" s="160"/>
      <c r="AS186" s="159"/>
      <c r="AT186" s="159"/>
      <c r="AU186" s="161"/>
      <c r="AV186" s="157"/>
      <c r="AW186" s="157"/>
      <c r="AX186" s="157"/>
      <c r="AY186" s="157"/>
      <c r="AZ186" s="157"/>
      <c r="BA186" s="157"/>
      <c r="BB186" s="157"/>
      <c r="BC186" s="151"/>
      <c r="BD186" s="157"/>
      <c r="BE186" s="157"/>
      <c r="BF186" s="157"/>
      <c r="BG186" s="157"/>
      <c r="BH186" s="157"/>
      <c r="BI186" s="157"/>
      <c r="BJ186" s="353"/>
      <c r="BK186" s="353"/>
      <c r="BL186" s="353"/>
      <c r="BM186" s="14"/>
      <c r="BN186" s="14"/>
      <c r="BO186" s="14"/>
    </row>
    <row r="187" spans="1:67" ht="20.100000000000001" customHeight="1">
      <c r="A187" s="157"/>
      <c r="B187" s="1"/>
      <c r="C187" s="157"/>
      <c r="D187" s="1"/>
      <c r="E187" s="150"/>
      <c r="F187" s="150"/>
      <c r="G187" s="151"/>
      <c r="H187" s="150"/>
      <c r="I187" s="150"/>
      <c r="J187" s="151"/>
      <c r="K187" s="151"/>
      <c r="L187" s="150"/>
      <c r="M187" s="151"/>
      <c r="N187" s="151"/>
      <c r="O187" s="151"/>
      <c r="P187" s="150"/>
      <c r="Q187" s="150"/>
      <c r="R187" s="158"/>
      <c r="S187" s="158"/>
      <c r="T187" s="158"/>
      <c r="U187" s="158"/>
      <c r="V187" s="1"/>
      <c r="W187" s="1"/>
      <c r="X187" s="157"/>
      <c r="Y187" s="157"/>
      <c r="Z187" s="157"/>
      <c r="AA187" s="157"/>
      <c r="AB187" s="157"/>
      <c r="AC187" s="151"/>
      <c r="AD187" s="151"/>
      <c r="AE187" s="151"/>
      <c r="AF187" s="157"/>
      <c r="AG187" s="157"/>
      <c r="AH187" s="157"/>
      <c r="AI187" s="157"/>
      <c r="AJ187" s="157"/>
      <c r="AK187" s="157"/>
      <c r="AL187" s="157"/>
      <c r="AM187" s="157"/>
      <c r="AN187" s="159"/>
      <c r="AO187" s="159"/>
      <c r="AP187" s="160"/>
      <c r="AQ187" s="160"/>
      <c r="AR187" s="160"/>
      <c r="AS187" s="159"/>
      <c r="AT187" s="159"/>
      <c r="AU187" s="161"/>
      <c r="AV187" s="157"/>
      <c r="AW187" s="157"/>
      <c r="AX187" s="157"/>
      <c r="AY187" s="157"/>
      <c r="AZ187" s="157"/>
      <c r="BA187" s="157"/>
      <c r="BB187" s="157"/>
      <c r="BC187" s="151"/>
      <c r="BD187" s="157"/>
      <c r="BE187" s="157"/>
      <c r="BF187" s="157"/>
      <c r="BG187" s="157"/>
      <c r="BH187" s="157"/>
      <c r="BI187" s="157"/>
      <c r="BJ187" s="353"/>
      <c r="BK187" s="353"/>
      <c r="BL187" s="353"/>
      <c r="BM187" s="14"/>
      <c r="BN187" s="14"/>
      <c r="BO187" s="14"/>
    </row>
    <row r="188" spans="1:67" ht="20.100000000000001" customHeight="1">
      <c r="A188" s="157"/>
      <c r="B188" s="1"/>
      <c r="C188" s="157"/>
      <c r="D188" s="1"/>
      <c r="E188" s="150"/>
      <c r="F188" s="150"/>
      <c r="G188" s="151"/>
      <c r="H188" s="150"/>
      <c r="I188" s="150"/>
      <c r="J188" s="151"/>
      <c r="K188" s="151"/>
      <c r="L188" s="150"/>
      <c r="M188" s="151"/>
      <c r="N188" s="151"/>
      <c r="O188" s="151"/>
      <c r="P188" s="150"/>
      <c r="Q188" s="150"/>
      <c r="R188" s="158"/>
      <c r="S188" s="158"/>
      <c r="T188" s="158"/>
      <c r="U188" s="158"/>
      <c r="V188" s="1"/>
      <c r="W188" s="1"/>
      <c r="X188" s="157"/>
      <c r="Y188" s="157"/>
      <c r="Z188" s="157"/>
      <c r="AA188" s="157"/>
      <c r="AB188" s="157"/>
      <c r="AC188" s="151"/>
      <c r="AD188" s="151"/>
      <c r="AE188" s="151"/>
      <c r="AF188" s="157"/>
      <c r="AG188" s="157"/>
      <c r="AH188" s="157"/>
      <c r="AI188" s="157"/>
      <c r="AJ188" s="157"/>
      <c r="AK188" s="157"/>
      <c r="AL188" s="157"/>
      <c r="AM188" s="157"/>
      <c r="AN188" s="159"/>
      <c r="AO188" s="159"/>
      <c r="AP188" s="160"/>
      <c r="AQ188" s="160"/>
      <c r="AR188" s="160"/>
      <c r="AS188" s="159"/>
      <c r="AT188" s="159"/>
      <c r="AU188" s="161"/>
      <c r="AV188" s="157"/>
      <c r="AW188" s="157"/>
      <c r="AX188" s="157"/>
      <c r="AY188" s="157"/>
      <c r="AZ188" s="157"/>
      <c r="BA188" s="157"/>
      <c r="BB188" s="157"/>
      <c r="BC188" s="151"/>
      <c r="BD188" s="157"/>
      <c r="BE188" s="157"/>
      <c r="BF188" s="157"/>
      <c r="BG188" s="157"/>
      <c r="BH188" s="157"/>
      <c r="BI188" s="157"/>
      <c r="BJ188" s="353"/>
      <c r="BK188" s="353"/>
      <c r="BL188" s="353"/>
      <c r="BM188" s="14"/>
      <c r="BN188" s="14"/>
      <c r="BO188" s="14"/>
    </row>
    <row r="189" spans="1:67" ht="20.100000000000001" customHeight="1">
      <c r="A189" s="157"/>
      <c r="B189" s="1"/>
      <c r="C189" s="157"/>
      <c r="D189" s="1"/>
      <c r="E189" s="150"/>
      <c r="F189" s="150"/>
      <c r="G189" s="151"/>
      <c r="H189" s="150"/>
      <c r="I189" s="150"/>
      <c r="J189" s="151"/>
      <c r="K189" s="151"/>
      <c r="L189" s="150"/>
      <c r="M189" s="151"/>
      <c r="N189" s="151"/>
      <c r="O189" s="151"/>
      <c r="P189" s="150"/>
      <c r="Q189" s="150"/>
      <c r="R189" s="158"/>
      <c r="S189" s="158"/>
      <c r="T189" s="158"/>
      <c r="U189" s="158"/>
      <c r="V189" s="1"/>
      <c r="W189" s="1"/>
      <c r="X189" s="157"/>
      <c r="Y189" s="157"/>
      <c r="Z189" s="157"/>
      <c r="AA189" s="157"/>
      <c r="AB189" s="157"/>
      <c r="AC189" s="151"/>
      <c r="AD189" s="151"/>
      <c r="AE189" s="151"/>
      <c r="AF189" s="157"/>
      <c r="AG189" s="157"/>
      <c r="AH189" s="157"/>
      <c r="AI189" s="157"/>
      <c r="AJ189" s="157"/>
      <c r="AK189" s="157"/>
      <c r="AL189" s="157"/>
      <c r="AM189" s="157"/>
      <c r="AN189" s="159"/>
      <c r="AO189" s="159"/>
      <c r="AP189" s="160"/>
      <c r="AQ189" s="160"/>
      <c r="AR189" s="160"/>
      <c r="AS189" s="159"/>
      <c r="AT189" s="159"/>
      <c r="AU189" s="161"/>
      <c r="AV189" s="157"/>
      <c r="AW189" s="157"/>
      <c r="AX189" s="157"/>
      <c r="AY189" s="157"/>
      <c r="AZ189" s="157"/>
      <c r="BA189" s="157"/>
      <c r="BB189" s="157"/>
      <c r="BC189" s="151"/>
      <c r="BD189" s="157"/>
      <c r="BE189" s="157"/>
      <c r="BF189" s="157"/>
      <c r="BG189" s="157"/>
      <c r="BH189" s="157"/>
      <c r="BI189" s="157"/>
      <c r="BJ189" s="353"/>
      <c r="BK189" s="353"/>
      <c r="BL189" s="353"/>
      <c r="BM189" s="14"/>
      <c r="BN189" s="14"/>
      <c r="BO189" s="14"/>
    </row>
    <row r="190" spans="1:67" ht="20.100000000000001" customHeight="1">
      <c r="A190" s="157"/>
      <c r="B190" s="1"/>
      <c r="C190" s="157"/>
      <c r="D190" s="1"/>
      <c r="E190" s="150"/>
      <c r="F190" s="150"/>
      <c r="G190" s="151"/>
      <c r="H190" s="150"/>
      <c r="I190" s="150"/>
      <c r="J190" s="151"/>
      <c r="K190" s="151"/>
      <c r="L190" s="150"/>
      <c r="M190" s="151"/>
      <c r="N190" s="151"/>
      <c r="O190" s="151"/>
      <c r="P190" s="150"/>
      <c r="Q190" s="150"/>
      <c r="R190" s="158"/>
      <c r="S190" s="158"/>
      <c r="T190" s="158"/>
      <c r="U190" s="158"/>
      <c r="V190" s="1"/>
      <c r="W190" s="1"/>
      <c r="X190" s="157"/>
      <c r="Y190" s="157"/>
      <c r="Z190" s="157"/>
      <c r="AA190" s="157"/>
      <c r="AB190" s="157"/>
      <c r="AC190" s="151"/>
      <c r="AD190" s="151"/>
      <c r="AE190" s="151"/>
      <c r="AF190" s="157"/>
      <c r="AG190" s="157"/>
      <c r="AH190" s="157"/>
      <c r="AI190" s="157"/>
      <c r="AJ190" s="157"/>
      <c r="AK190" s="157"/>
      <c r="AL190" s="157"/>
      <c r="AM190" s="157"/>
      <c r="AN190" s="159"/>
      <c r="AO190" s="159"/>
      <c r="AP190" s="160"/>
      <c r="AQ190" s="160"/>
      <c r="AR190" s="160"/>
      <c r="AS190" s="159"/>
      <c r="AT190" s="159"/>
      <c r="AU190" s="161"/>
      <c r="AV190" s="157"/>
      <c r="AW190" s="157"/>
      <c r="AX190" s="157"/>
      <c r="AY190" s="157"/>
      <c r="AZ190" s="157"/>
      <c r="BA190" s="157"/>
      <c r="BB190" s="157"/>
      <c r="BC190" s="151"/>
      <c r="BD190" s="157"/>
      <c r="BE190" s="157"/>
      <c r="BF190" s="157"/>
      <c r="BG190" s="157"/>
      <c r="BH190" s="157"/>
      <c r="BI190" s="157"/>
      <c r="BJ190" s="353"/>
      <c r="BK190" s="353"/>
      <c r="BL190" s="353"/>
      <c r="BM190" s="14"/>
      <c r="BN190" s="14"/>
      <c r="BO190" s="14"/>
    </row>
    <row r="191" spans="1:67" ht="20.100000000000001" customHeight="1">
      <c r="A191" s="157"/>
      <c r="B191" s="1"/>
      <c r="C191" s="157"/>
      <c r="D191" s="1"/>
      <c r="E191" s="150"/>
      <c r="F191" s="150"/>
      <c r="G191" s="151"/>
      <c r="H191" s="150"/>
      <c r="I191" s="150"/>
      <c r="J191" s="151"/>
      <c r="K191" s="151"/>
      <c r="L191" s="150"/>
      <c r="M191" s="151"/>
      <c r="N191" s="151"/>
      <c r="O191" s="151"/>
      <c r="P191" s="150"/>
      <c r="Q191" s="150"/>
      <c r="R191" s="158"/>
      <c r="S191" s="158"/>
      <c r="T191" s="158"/>
      <c r="U191" s="158"/>
      <c r="V191" s="1"/>
      <c r="W191" s="1"/>
      <c r="X191" s="157"/>
      <c r="Y191" s="157"/>
      <c r="Z191" s="157"/>
      <c r="AA191" s="157"/>
      <c r="AB191" s="157"/>
      <c r="AC191" s="151"/>
      <c r="AD191" s="151"/>
      <c r="AE191" s="151"/>
      <c r="AF191" s="157"/>
      <c r="AG191" s="157"/>
      <c r="AH191" s="157"/>
      <c r="AI191" s="157"/>
      <c r="AJ191" s="157"/>
      <c r="AK191" s="157"/>
      <c r="AL191" s="157"/>
      <c r="AM191" s="157"/>
      <c r="AN191" s="159"/>
      <c r="AO191" s="159"/>
      <c r="AP191" s="160"/>
      <c r="AQ191" s="160"/>
      <c r="AR191" s="160"/>
      <c r="AS191" s="159"/>
      <c r="AT191" s="159"/>
      <c r="AU191" s="161"/>
      <c r="AV191" s="157"/>
      <c r="AW191" s="157"/>
      <c r="AX191" s="157"/>
      <c r="AY191" s="157"/>
      <c r="AZ191" s="157"/>
      <c r="BA191" s="157"/>
      <c r="BB191" s="157"/>
      <c r="BC191" s="151"/>
      <c r="BD191" s="157"/>
      <c r="BE191" s="157"/>
      <c r="BF191" s="157"/>
      <c r="BG191" s="157"/>
      <c r="BH191" s="157"/>
      <c r="BI191" s="157"/>
      <c r="BJ191" s="353"/>
      <c r="BK191" s="353"/>
      <c r="BL191" s="353"/>
      <c r="BM191" s="14"/>
      <c r="BN191" s="14"/>
      <c r="BO191" s="14"/>
    </row>
    <row r="192" spans="1:67" ht="20.100000000000001" customHeight="1">
      <c r="A192" s="157"/>
      <c r="B192" s="1"/>
      <c r="C192" s="157"/>
      <c r="D192" s="1"/>
      <c r="E192" s="150"/>
      <c r="F192" s="150"/>
      <c r="G192" s="151"/>
      <c r="H192" s="150"/>
      <c r="I192" s="150"/>
      <c r="J192" s="151"/>
      <c r="K192" s="151"/>
      <c r="L192" s="150"/>
      <c r="M192" s="151"/>
      <c r="N192" s="151"/>
      <c r="O192" s="151"/>
      <c r="P192" s="150"/>
      <c r="Q192" s="150"/>
      <c r="R192" s="158"/>
      <c r="S192" s="158"/>
      <c r="T192" s="158"/>
      <c r="U192" s="158"/>
      <c r="V192" s="1"/>
      <c r="W192" s="1"/>
      <c r="X192" s="157"/>
      <c r="Y192" s="157"/>
      <c r="Z192" s="157"/>
      <c r="AA192" s="157"/>
      <c r="AB192" s="157"/>
      <c r="AC192" s="151"/>
      <c r="AD192" s="151"/>
      <c r="AE192" s="151"/>
      <c r="AF192" s="157"/>
      <c r="AG192" s="157"/>
      <c r="AH192" s="157"/>
      <c r="AI192" s="157"/>
      <c r="AJ192" s="157"/>
      <c r="AK192" s="157"/>
      <c r="AL192" s="157"/>
      <c r="AM192" s="157"/>
      <c r="AN192" s="159"/>
      <c r="AO192" s="159"/>
      <c r="AP192" s="160"/>
      <c r="AQ192" s="160"/>
      <c r="AR192" s="160"/>
      <c r="AS192" s="159"/>
      <c r="AT192" s="159"/>
      <c r="AU192" s="161"/>
      <c r="AV192" s="157"/>
      <c r="AW192" s="157"/>
      <c r="AX192" s="157"/>
      <c r="AY192" s="157"/>
      <c r="AZ192" s="157"/>
      <c r="BA192" s="157"/>
      <c r="BB192" s="157"/>
      <c r="BC192" s="151"/>
      <c r="BD192" s="157"/>
      <c r="BE192" s="157"/>
      <c r="BF192" s="157"/>
      <c r="BG192" s="157"/>
      <c r="BH192" s="157"/>
      <c r="BI192" s="157"/>
      <c r="BJ192" s="353"/>
      <c r="BK192" s="353"/>
      <c r="BL192" s="353"/>
      <c r="BM192" s="14"/>
      <c r="BN192" s="14"/>
      <c r="BO192" s="14"/>
    </row>
    <row r="193" spans="1:67" ht="20.100000000000001" customHeight="1">
      <c r="A193" s="157"/>
      <c r="B193" s="1"/>
      <c r="C193" s="157"/>
      <c r="D193" s="1"/>
      <c r="E193" s="150"/>
      <c r="F193" s="150"/>
      <c r="G193" s="151"/>
      <c r="H193" s="150"/>
      <c r="I193" s="150"/>
      <c r="J193" s="151"/>
      <c r="K193" s="151"/>
      <c r="L193" s="150"/>
      <c r="M193" s="151"/>
      <c r="N193" s="151"/>
      <c r="O193" s="151"/>
      <c r="P193" s="150"/>
      <c r="Q193" s="150"/>
      <c r="R193" s="158"/>
      <c r="S193" s="158"/>
      <c r="T193" s="158"/>
      <c r="U193" s="158"/>
      <c r="V193" s="1"/>
      <c r="W193" s="1"/>
      <c r="X193" s="157"/>
      <c r="Y193" s="157"/>
      <c r="Z193" s="157"/>
      <c r="AA193" s="157"/>
      <c r="AB193" s="157"/>
      <c r="AC193" s="151"/>
      <c r="AD193" s="151"/>
      <c r="AE193" s="151"/>
      <c r="AF193" s="157"/>
      <c r="AG193" s="157"/>
      <c r="AH193" s="157"/>
      <c r="AI193" s="157"/>
      <c r="AJ193" s="157"/>
      <c r="AK193" s="157"/>
      <c r="AL193" s="157"/>
      <c r="AM193" s="157"/>
      <c r="AN193" s="159"/>
      <c r="AO193" s="159"/>
      <c r="AP193" s="160"/>
      <c r="AQ193" s="160"/>
      <c r="AR193" s="160"/>
      <c r="AS193" s="159"/>
      <c r="AT193" s="159"/>
      <c r="AU193" s="161"/>
      <c r="AV193" s="157"/>
      <c r="AW193" s="157"/>
      <c r="AX193" s="157"/>
      <c r="AY193" s="157"/>
      <c r="AZ193" s="157"/>
      <c r="BA193" s="157"/>
      <c r="BB193" s="157"/>
      <c r="BC193" s="151"/>
      <c r="BD193" s="157"/>
      <c r="BE193" s="157"/>
      <c r="BF193" s="157"/>
      <c r="BG193" s="157"/>
      <c r="BH193" s="157"/>
      <c r="BI193" s="157"/>
      <c r="BJ193" s="353"/>
      <c r="BK193" s="353"/>
      <c r="BL193" s="353"/>
      <c r="BM193" s="14"/>
      <c r="BN193" s="14"/>
      <c r="BO193" s="14"/>
    </row>
    <row r="194" spans="1:67" ht="20.100000000000001" customHeight="1">
      <c r="A194" s="157"/>
      <c r="B194" s="1"/>
      <c r="C194" s="157"/>
      <c r="D194" s="1"/>
      <c r="E194" s="150"/>
      <c r="F194" s="150"/>
      <c r="G194" s="151"/>
      <c r="H194" s="150"/>
      <c r="I194" s="150"/>
      <c r="J194" s="151"/>
      <c r="K194" s="151"/>
      <c r="L194" s="150"/>
      <c r="M194" s="151"/>
      <c r="N194" s="151"/>
      <c r="O194" s="151"/>
      <c r="P194" s="150"/>
      <c r="Q194" s="150"/>
      <c r="R194" s="158"/>
      <c r="S194" s="158"/>
      <c r="T194" s="158"/>
      <c r="U194" s="158"/>
      <c r="V194" s="1"/>
      <c r="W194" s="1"/>
      <c r="X194" s="157"/>
      <c r="Y194" s="157"/>
      <c r="Z194" s="157"/>
      <c r="AA194" s="157"/>
      <c r="AB194" s="157"/>
      <c r="AC194" s="151"/>
      <c r="AD194" s="151"/>
      <c r="AE194" s="151"/>
      <c r="AF194" s="157"/>
      <c r="AG194" s="157"/>
      <c r="AH194" s="157"/>
      <c r="AI194" s="157"/>
      <c r="AJ194" s="157"/>
      <c r="AK194" s="157"/>
      <c r="AL194" s="157"/>
      <c r="AM194" s="157"/>
      <c r="AN194" s="159"/>
      <c r="AO194" s="159"/>
      <c r="AP194" s="160"/>
      <c r="AQ194" s="160"/>
      <c r="AR194" s="160"/>
      <c r="AS194" s="159"/>
      <c r="AT194" s="159"/>
      <c r="AU194" s="161"/>
      <c r="AV194" s="157"/>
      <c r="AW194" s="157"/>
      <c r="AX194" s="157"/>
      <c r="AY194" s="157"/>
      <c r="AZ194" s="157"/>
      <c r="BA194" s="157"/>
      <c r="BB194" s="157"/>
      <c r="BC194" s="151"/>
      <c r="BD194" s="157"/>
      <c r="BE194" s="157"/>
      <c r="BF194" s="157"/>
      <c r="BG194" s="157"/>
      <c r="BH194" s="157"/>
      <c r="BI194" s="157"/>
      <c r="BJ194" s="353"/>
      <c r="BK194" s="353"/>
      <c r="BL194" s="353"/>
      <c r="BM194" s="14"/>
      <c r="BN194" s="14"/>
      <c r="BO194" s="14"/>
    </row>
    <row r="195" spans="1:67" ht="20.100000000000001" customHeight="1">
      <c r="A195" s="157"/>
      <c r="B195" s="1"/>
      <c r="C195" s="157"/>
      <c r="D195" s="1"/>
      <c r="E195" s="150"/>
      <c r="F195" s="150"/>
      <c r="G195" s="151"/>
      <c r="H195" s="150"/>
      <c r="I195" s="150"/>
      <c r="J195" s="151"/>
      <c r="K195" s="151"/>
      <c r="L195" s="150"/>
      <c r="M195" s="151"/>
      <c r="N195" s="151"/>
      <c r="O195" s="151"/>
      <c r="P195" s="150"/>
      <c r="Q195" s="150"/>
      <c r="R195" s="158"/>
      <c r="S195" s="158"/>
      <c r="T195" s="158"/>
      <c r="U195" s="158"/>
      <c r="V195" s="1"/>
      <c r="W195" s="1"/>
      <c r="X195" s="157"/>
      <c r="Y195" s="157"/>
      <c r="Z195" s="157"/>
      <c r="AA195" s="157"/>
      <c r="AB195" s="157"/>
      <c r="AC195" s="151"/>
      <c r="AD195" s="151"/>
      <c r="AE195" s="151"/>
      <c r="AF195" s="157"/>
      <c r="AG195" s="157"/>
      <c r="AH195" s="157"/>
      <c r="AI195" s="157"/>
      <c r="AJ195" s="157"/>
      <c r="AK195" s="157"/>
      <c r="AL195" s="157"/>
      <c r="AM195" s="157"/>
      <c r="AN195" s="159"/>
      <c r="AO195" s="159"/>
      <c r="AP195" s="160"/>
      <c r="AQ195" s="160"/>
      <c r="AR195" s="160"/>
      <c r="AS195" s="159"/>
      <c r="AT195" s="159"/>
      <c r="AU195" s="161"/>
      <c r="AV195" s="157"/>
      <c r="AW195" s="157"/>
      <c r="AX195" s="157"/>
      <c r="AY195" s="157"/>
      <c r="AZ195" s="157"/>
      <c r="BA195" s="157"/>
      <c r="BB195" s="157"/>
      <c r="BC195" s="151"/>
      <c r="BD195" s="157"/>
      <c r="BE195" s="157"/>
      <c r="BF195" s="157"/>
      <c r="BG195" s="157"/>
      <c r="BH195" s="157"/>
      <c r="BI195" s="157"/>
      <c r="BJ195" s="353"/>
      <c r="BK195" s="353"/>
      <c r="BL195" s="353"/>
      <c r="BM195" s="14"/>
      <c r="BN195" s="14"/>
      <c r="BO195" s="14"/>
    </row>
    <row r="196" spans="1:67" ht="20.100000000000001" customHeight="1">
      <c r="A196" s="157"/>
      <c r="B196" s="1"/>
      <c r="C196" s="157"/>
      <c r="D196" s="1"/>
      <c r="E196" s="150"/>
      <c r="F196" s="150"/>
      <c r="G196" s="151"/>
      <c r="H196" s="150"/>
      <c r="I196" s="150"/>
      <c r="J196" s="151"/>
      <c r="K196" s="151"/>
      <c r="L196" s="150"/>
      <c r="M196" s="151"/>
      <c r="N196" s="151"/>
      <c r="O196" s="151"/>
      <c r="P196" s="150"/>
      <c r="Q196" s="150"/>
      <c r="R196" s="158"/>
      <c r="S196" s="158"/>
      <c r="T196" s="158"/>
      <c r="U196" s="158"/>
      <c r="V196" s="1"/>
      <c r="W196" s="1"/>
      <c r="X196" s="157"/>
      <c r="Y196" s="157"/>
      <c r="Z196" s="157"/>
      <c r="AA196" s="157"/>
      <c r="AB196" s="157"/>
      <c r="AC196" s="151"/>
      <c r="AD196" s="151"/>
      <c r="AE196" s="151"/>
      <c r="AF196" s="157"/>
      <c r="AG196" s="157"/>
      <c r="AH196" s="157"/>
      <c r="AI196" s="157"/>
      <c r="AJ196" s="157"/>
      <c r="AK196" s="157"/>
      <c r="AL196" s="157"/>
      <c r="AM196" s="157"/>
      <c r="AN196" s="159"/>
      <c r="AO196" s="159"/>
      <c r="AP196" s="160"/>
      <c r="AQ196" s="160"/>
      <c r="AR196" s="160"/>
      <c r="AS196" s="159"/>
      <c r="AT196" s="159"/>
      <c r="AU196" s="161"/>
      <c r="AV196" s="157"/>
      <c r="AW196" s="157"/>
      <c r="AX196" s="157"/>
      <c r="AY196" s="157"/>
      <c r="AZ196" s="157"/>
      <c r="BA196" s="157"/>
      <c r="BB196" s="157"/>
      <c r="BC196" s="151"/>
      <c r="BD196" s="157"/>
      <c r="BE196" s="157"/>
      <c r="BF196" s="157"/>
      <c r="BG196" s="157"/>
      <c r="BH196" s="157"/>
      <c r="BI196" s="157"/>
      <c r="BJ196" s="353"/>
      <c r="BK196" s="353"/>
      <c r="BL196" s="353"/>
      <c r="BM196" s="14"/>
      <c r="BN196" s="14"/>
      <c r="BO196" s="14"/>
    </row>
    <row r="197" spans="1:67" ht="20.100000000000001" customHeight="1">
      <c r="A197" s="157"/>
      <c r="B197" s="1"/>
      <c r="C197" s="157"/>
      <c r="D197" s="1"/>
      <c r="E197" s="150"/>
      <c r="F197" s="150"/>
      <c r="G197" s="151"/>
      <c r="H197" s="150"/>
      <c r="I197" s="150"/>
      <c r="J197" s="151"/>
      <c r="K197" s="151"/>
      <c r="L197" s="150"/>
      <c r="M197" s="151"/>
      <c r="N197" s="151"/>
      <c r="O197" s="151"/>
      <c r="P197" s="150"/>
      <c r="Q197" s="150"/>
      <c r="R197" s="158"/>
      <c r="S197" s="158"/>
      <c r="T197" s="158"/>
      <c r="U197" s="158"/>
      <c r="V197" s="1"/>
      <c r="W197" s="1"/>
      <c r="X197" s="157"/>
      <c r="Y197" s="157"/>
      <c r="Z197" s="157"/>
      <c r="AA197" s="157"/>
      <c r="AB197" s="157"/>
      <c r="AC197" s="151"/>
      <c r="AD197" s="151"/>
      <c r="AE197" s="151"/>
      <c r="AF197" s="157"/>
      <c r="AG197" s="157"/>
      <c r="AH197" s="157"/>
      <c r="AI197" s="157"/>
      <c r="AJ197" s="157"/>
      <c r="AK197" s="157"/>
      <c r="AL197" s="157"/>
      <c r="AM197" s="157"/>
      <c r="AN197" s="159"/>
      <c r="AO197" s="159"/>
      <c r="AP197" s="160"/>
      <c r="AQ197" s="160"/>
      <c r="AR197" s="160"/>
      <c r="AS197" s="159"/>
      <c r="AT197" s="159"/>
      <c r="AU197" s="161"/>
      <c r="AV197" s="157"/>
      <c r="AW197" s="157"/>
      <c r="AX197" s="157"/>
      <c r="AY197" s="157"/>
      <c r="AZ197" s="157"/>
      <c r="BA197" s="157"/>
      <c r="BB197" s="157"/>
      <c r="BC197" s="151"/>
      <c r="BD197" s="157"/>
      <c r="BE197" s="157"/>
      <c r="BF197" s="157"/>
      <c r="BG197" s="157"/>
      <c r="BH197" s="157"/>
      <c r="BI197" s="157"/>
      <c r="BJ197" s="353"/>
      <c r="BK197" s="353"/>
      <c r="BL197" s="353"/>
      <c r="BM197" s="14"/>
      <c r="BN197" s="14"/>
      <c r="BO197" s="14"/>
    </row>
    <row r="198" spans="1:67" ht="20.100000000000001" customHeight="1">
      <c r="A198" s="157"/>
      <c r="B198" s="1"/>
      <c r="C198" s="157"/>
      <c r="D198" s="1"/>
      <c r="E198" s="150"/>
      <c r="F198" s="150"/>
      <c r="G198" s="151"/>
      <c r="H198" s="150"/>
      <c r="I198" s="150"/>
      <c r="J198" s="151"/>
      <c r="K198" s="151"/>
      <c r="L198" s="150"/>
      <c r="M198" s="151"/>
      <c r="N198" s="151"/>
      <c r="O198" s="151"/>
      <c r="P198" s="150"/>
      <c r="Q198" s="150"/>
      <c r="R198" s="158"/>
      <c r="S198" s="158"/>
      <c r="T198" s="158"/>
      <c r="U198" s="158"/>
      <c r="V198" s="1"/>
      <c r="W198" s="1"/>
      <c r="X198" s="157"/>
      <c r="Y198" s="157"/>
      <c r="Z198" s="157"/>
      <c r="AA198" s="157"/>
      <c r="AB198" s="157"/>
      <c r="AC198" s="151"/>
      <c r="AD198" s="151"/>
      <c r="AE198" s="151"/>
      <c r="AF198" s="157"/>
      <c r="AG198" s="157"/>
      <c r="AH198" s="157"/>
      <c r="AI198" s="157"/>
      <c r="AJ198" s="157"/>
      <c r="AK198" s="157"/>
      <c r="AL198" s="157"/>
      <c r="AM198" s="157"/>
      <c r="AN198" s="159"/>
      <c r="AO198" s="159"/>
      <c r="AP198" s="160"/>
      <c r="AQ198" s="160"/>
      <c r="AR198" s="160"/>
      <c r="AS198" s="159"/>
      <c r="AT198" s="159"/>
      <c r="AU198" s="161"/>
      <c r="AV198" s="157"/>
      <c r="AW198" s="157"/>
      <c r="AX198" s="157"/>
      <c r="AY198" s="157"/>
      <c r="AZ198" s="157"/>
      <c r="BA198" s="157"/>
      <c r="BB198" s="157"/>
      <c r="BC198" s="151"/>
      <c r="BD198" s="157"/>
      <c r="BE198" s="157"/>
      <c r="BF198" s="157"/>
      <c r="BG198" s="157"/>
      <c r="BH198" s="157"/>
      <c r="BI198" s="157"/>
      <c r="BJ198" s="353"/>
      <c r="BK198" s="353"/>
      <c r="BL198" s="353"/>
      <c r="BM198" s="14"/>
      <c r="BN198" s="14"/>
      <c r="BO198" s="14"/>
    </row>
    <row r="199" spans="1:67" ht="20.100000000000001" customHeight="1">
      <c r="A199" s="157"/>
      <c r="B199" s="1"/>
      <c r="C199" s="157"/>
      <c r="D199" s="1"/>
      <c r="E199" s="150"/>
      <c r="F199" s="150"/>
      <c r="G199" s="151"/>
      <c r="H199" s="150"/>
      <c r="I199" s="150"/>
      <c r="J199" s="151"/>
      <c r="K199" s="151"/>
      <c r="L199" s="150"/>
      <c r="M199" s="151"/>
      <c r="N199" s="151"/>
      <c r="O199" s="151"/>
      <c r="P199" s="150"/>
      <c r="Q199" s="150"/>
      <c r="R199" s="158"/>
      <c r="S199" s="158"/>
      <c r="T199" s="158"/>
      <c r="U199" s="158"/>
      <c r="V199" s="1"/>
      <c r="W199" s="1"/>
      <c r="X199" s="157"/>
      <c r="Y199" s="157"/>
      <c r="Z199" s="157"/>
      <c r="AA199" s="157"/>
      <c r="AB199" s="157"/>
      <c r="AC199" s="151"/>
      <c r="AD199" s="151"/>
      <c r="AE199" s="151"/>
      <c r="AF199" s="157"/>
      <c r="AG199" s="157"/>
      <c r="AH199" s="157"/>
      <c r="AI199" s="157"/>
      <c r="AJ199" s="157"/>
      <c r="AK199" s="157"/>
      <c r="AL199" s="157"/>
      <c r="AM199" s="157"/>
      <c r="AN199" s="159"/>
      <c r="AO199" s="159"/>
      <c r="AP199" s="160"/>
      <c r="AQ199" s="160"/>
      <c r="AR199" s="160"/>
      <c r="AS199" s="159"/>
      <c r="AT199" s="159"/>
      <c r="AU199" s="161"/>
      <c r="AV199" s="157"/>
      <c r="AW199" s="157"/>
      <c r="AX199" s="157"/>
      <c r="AY199" s="157"/>
      <c r="AZ199" s="157"/>
      <c r="BA199" s="157"/>
      <c r="BB199" s="157"/>
      <c r="BC199" s="151"/>
      <c r="BD199" s="157"/>
      <c r="BE199" s="157"/>
      <c r="BF199" s="157"/>
      <c r="BG199" s="157"/>
      <c r="BH199" s="157"/>
      <c r="BI199" s="157"/>
      <c r="BJ199" s="353"/>
      <c r="BK199" s="353"/>
      <c r="BL199" s="353"/>
      <c r="BM199" s="14"/>
      <c r="BN199" s="14"/>
      <c r="BO199" s="14"/>
    </row>
    <row r="200" spans="1:67" ht="20.100000000000001" customHeight="1">
      <c r="A200" s="157"/>
      <c r="B200" s="1"/>
      <c r="C200" s="157"/>
      <c r="D200" s="1"/>
      <c r="E200" s="150"/>
      <c r="F200" s="150"/>
      <c r="G200" s="151"/>
      <c r="H200" s="150"/>
      <c r="I200" s="150"/>
      <c r="J200" s="151"/>
      <c r="K200" s="151"/>
      <c r="L200" s="150"/>
      <c r="M200" s="151"/>
      <c r="N200" s="151"/>
      <c r="O200" s="151"/>
      <c r="P200" s="150"/>
      <c r="Q200" s="150"/>
      <c r="R200" s="158"/>
      <c r="S200" s="158"/>
      <c r="T200" s="158"/>
      <c r="U200" s="158"/>
      <c r="V200" s="1"/>
      <c r="W200" s="1"/>
      <c r="X200" s="157"/>
      <c r="Y200" s="157"/>
      <c r="Z200" s="157"/>
      <c r="AA200" s="157"/>
      <c r="AB200" s="157"/>
      <c r="AC200" s="151"/>
      <c r="AD200" s="151"/>
      <c r="AE200" s="151"/>
      <c r="AF200" s="157"/>
      <c r="AG200" s="157"/>
      <c r="AH200" s="157"/>
      <c r="AI200" s="157"/>
      <c r="AJ200" s="157"/>
      <c r="AK200" s="157"/>
      <c r="AL200" s="157"/>
      <c r="AM200" s="157"/>
      <c r="AN200" s="159"/>
      <c r="AO200" s="159"/>
      <c r="AP200" s="160"/>
      <c r="AQ200" s="160"/>
      <c r="AR200" s="160"/>
      <c r="AS200" s="159"/>
      <c r="AT200" s="159"/>
      <c r="AU200" s="161"/>
      <c r="AV200" s="157"/>
      <c r="AW200" s="157"/>
      <c r="AX200" s="157"/>
      <c r="AY200" s="157"/>
      <c r="AZ200" s="157"/>
      <c r="BA200" s="157"/>
      <c r="BB200" s="157"/>
      <c r="BC200" s="151"/>
      <c r="BD200" s="157"/>
      <c r="BE200" s="157"/>
      <c r="BF200" s="157"/>
      <c r="BG200" s="157"/>
      <c r="BH200" s="157"/>
      <c r="BI200" s="157"/>
      <c r="BJ200" s="353"/>
      <c r="BK200" s="353"/>
      <c r="BL200" s="353"/>
      <c r="BM200" s="14"/>
      <c r="BN200" s="14"/>
      <c r="BO200" s="14"/>
    </row>
    <row r="201" spans="1:67" ht="20.100000000000001" customHeight="1">
      <c r="A201" s="157"/>
      <c r="B201" s="1"/>
      <c r="C201" s="157"/>
      <c r="D201" s="1"/>
      <c r="E201" s="150"/>
      <c r="F201" s="150"/>
      <c r="G201" s="151"/>
      <c r="H201" s="150"/>
      <c r="I201" s="150"/>
      <c r="J201" s="151"/>
      <c r="K201" s="151"/>
      <c r="L201" s="150"/>
      <c r="M201" s="151"/>
      <c r="N201" s="151"/>
      <c r="O201" s="151"/>
      <c r="P201" s="150"/>
      <c r="Q201" s="150"/>
      <c r="R201" s="158"/>
      <c r="S201" s="158"/>
      <c r="T201" s="158"/>
      <c r="U201" s="158"/>
      <c r="V201" s="1"/>
      <c r="W201" s="1"/>
      <c r="X201" s="157"/>
      <c r="Y201" s="157"/>
      <c r="Z201" s="157"/>
      <c r="AA201" s="157"/>
      <c r="AB201" s="157"/>
      <c r="AC201" s="151"/>
      <c r="AD201" s="151"/>
      <c r="AE201" s="151"/>
      <c r="AF201" s="157"/>
      <c r="AG201" s="157"/>
      <c r="AH201" s="157"/>
      <c r="AI201" s="157"/>
      <c r="AJ201" s="157"/>
      <c r="AK201" s="157"/>
      <c r="AL201" s="157"/>
      <c r="AM201" s="157"/>
      <c r="AN201" s="159"/>
      <c r="AO201" s="159"/>
      <c r="AP201" s="160"/>
      <c r="AQ201" s="160"/>
      <c r="AR201" s="160"/>
      <c r="AS201" s="159"/>
      <c r="AT201" s="159"/>
      <c r="AU201" s="161"/>
      <c r="AV201" s="157"/>
      <c r="AW201" s="157"/>
      <c r="AX201" s="157"/>
      <c r="AY201" s="157"/>
      <c r="AZ201" s="157"/>
      <c r="BA201" s="157"/>
      <c r="BB201" s="157"/>
      <c r="BC201" s="151"/>
      <c r="BD201" s="157"/>
      <c r="BE201" s="157"/>
      <c r="BF201" s="157"/>
      <c r="BG201" s="157"/>
      <c r="BH201" s="157"/>
      <c r="BI201" s="157"/>
      <c r="BJ201" s="353"/>
      <c r="BK201" s="353"/>
      <c r="BL201" s="353"/>
      <c r="BM201" s="14"/>
      <c r="BN201" s="14"/>
      <c r="BO201" s="14"/>
    </row>
    <row r="202" spans="1:67" ht="20.100000000000001" customHeight="1">
      <c r="A202" s="157"/>
      <c r="B202" s="1"/>
      <c r="C202" s="157"/>
      <c r="D202" s="1"/>
      <c r="E202" s="150"/>
      <c r="F202" s="150"/>
      <c r="G202" s="151"/>
      <c r="H202" s="150"/>
      <c r="I202" s="150"/>
      <c r="J202" s="151"/>
      <c r="K202" s="151"/>
      <c r="L202" s="150"/>
      <c r="M202" s="151"/>
      <c r="N202" s="151"/>
      <c r="O202" s="151"/>
      <c r="P202" s="150"/>
      <c r="Q202" s="150"/>
      <c r="R202" s="158"/>
      <c r="S202" s="158"/>
      <c r="T202" s="158"/>
      <c r="U202" s="158"/>
      <c r="V202" s="1"/>
      <c r="W202" s="1"/>
      <c r="X202" s="157"/>
      <c r="Y202" s="157"/>
      <c r="Z202" s="157"/>
      <c r="AA202" s="157"/>
      <c r="AB202" s="157"/>
      <c r="AC202" s="151"/>
      <c r="AD202" s="151"/>
      <c r="AE202" s="151"/>
      <c r="AF202" s="157"/>
      <c r="AG202" s="157"/>
      <c r="AH202" s="157"/>
      <c r="AI202" s="157"/>
      <c r="AJ202" s="157"/>
      <c r="AK202" s="157"/>
      <c r="AL202" s="157"/>
      <c r="AM202" s="157"/>
      <c r="AN202" s="159"/>
      <c r="AO202" s="159"/>
      <c r="AP202" s="160"/>
      <c r="AQ202" s="160"/>
      <c r="AR202" s="160"/>
      <c r="AS202" s="159"/>
      <c r="AT202" s="159"/>
      <c r="AU202" s="161"/>
      <c r="AV202" s="157"/>
      <c r="AW202" s="157"/>
      <c r="AX202" s="157"/>
      <c r="AY202" s="157"/>
      <c r="AZ202" s="157"/>
      <c r="BA202" s="157"/>
      <c r="BB202" s="157"/>
      <c r="BC202" s="151"/>
      <c r="BD202" s="157"/>
      <c r="BE202" s="157"/>
      <c r="BF202" s="157"/>
      <c r="BG202" s="157"/>
      <c r="BH202" s="157"/>
      <c r="BI202" s="157"/>
      <c r="BJ202" s="353"/>
      <c r="BK202" s="353"/>
      <c r="BL202" s="353"/>
      <c r="BM202" s="14"/>
      <c r="BN202" s="14"/>
      <c r="BO202" s="14"/>
    </row>
    <row r="203" spans="1:67" ht="20.100000000000001" customHeight="1">
      <c r="A203" s="157"/>
      <c r="B203" s="1"/>
      <c r="C203" s="157"/>
      <c r="D203" s="1"/>
      <c r="E203" s="150"/>
      <c r="F203" s="150"/>
      <c r="G203" s="151"/>
      <c r="H203" s="150"/>
      <c r="I203" s="150"/>
      <c r="J203" s="151"/>
      <c r="K203" s="151"/>
      <c r="L203" s="150"/>
      <c r="M203" s="151"/>
      <c r="N203" s="151"/>
      <c r="O203" s="151"/>
      <c r="P203" s="150"/>
      <c r="Q203" s="150"/>
      <c r="R203" s="158"/>
      <c r="S203" s="158"/>
      <c r="T203" s="158"/>
      <c r="U203" s="158"/>
      <c r="V203" s="1"/>
      <c r="W203" s="1"/>
      <c r="X203" s="157"/>
      <c r="Y203" s="157"/>
      <c r="Z203" s="157"/>
      <c r="AA203" s="157"/>
      <c r="AB203" s="157"/>
      <c r="AC203" s="151"/>
      <c r="AD203" s="151"/>
      <c r="AE203" s="151"/>
      <c r="AF203" s="157"/>
      <c r="AG203" s="157"/>
      <c r="AH203" s="157"/>
      <c r="AI203" s="157"/>
      <c r="AJ203" s="157"/>
      <c r="AK203" s="157"/>
      <c r="AL203" s="157"/>
      <c r="AM203" s="157"/>
      <c r="AN203" s="159"/>
      <c r="AO203" s="159"/>
      <c r="AP203" s="160"/>
      <c r="AQ203" s="160"/>
      <c r="AR203" s="160"/>
      <c r="AS203" s="159"/>
      <c r="AT203" s="159"/>
      <c r="AU203" s="161"/>
      <c r="AV203" s="157"/>
      <c r="AW203" s="157"/>
      <c r="AX203" s="157"/>
      <c r="AY203" s="157"/>
      <c r="AZ203" s="157"/>
      <c r="BA203" s="157"/>
      <c r="BB203" s="157"/>
      <c r="BC203" s="151"/>
      <c r="BD203" s="157"/>
      <c r="BE203" s="157"/>
      <c r="BF203" s="157"/>
      <c r="BG203" s="157"/>
      <c r="BH203" s="157"/>
      <c r="BI203" s="157"/>
      <c r="BJ203" s="353"/>
      <c r="BK203" s="353"/>
      <c r="BL203" s="353"/>
      <c r="BM203" s="14"/>
      <c r="BN203" s="14"/>
      <c r="BO203" s="14"/>
    </row>
    <row r="204" spans="1:67" ht="20.100000000000001" customHeight="1">
      <c r="A204" s="157"/>
      <c r="B204" s="1"/>
      <c r="C204" s="157"/>
      <c r="D204" s="1"/>
      <c r="E204" s="150"/>
      <c r="F204" s="150"/>
      <c r="G204" s="151"/>
      <c r="H204" s="150"/>
      <c r="I204" s="150"/>
      <c r="J204" s="151"/>
      <c r="K204" s="151"/>
      <c r="L204" s="150"/>
      <c r="M204" s="151"/>
      <c r="N204" s="151"/>
      <c r="O204" s="151"/>
      <c r="P204" s="150"/>
      <c r="Q204" s="150"/>
      <c r="R204" s="158"/>
      <c r="S204" s="158"/>
      <c r="T204" s="158"/>
      <c r="U204" s="158"/>
      <c r="V204" s="1"/>
      <c r="W204" s="1"/>
      <c r="X204" s="157"/>
      <c r="Y204" s="157"/>
      <c r="Z204" s="157"/>
      <c r="AA204" s="157"/>
      <c r="AB204" s="157"/>
      <c r="AC204" s="151"/>
      <c r="AD204" s="151"/>
      <c r="AE204" s="151"/>
      <c r="AF204" s="157"/>
      <c r="AG204" s="157"/>
      <c r="AH204" s="157"/>
      <c r="AI204" s="157"/>
      <c r="AJ204" s="157"/>
      <c r="AK204" s="157"/>
      <c r="AL204" s="157"/>
      <c r="AM204" s="157"/>
      <c r="AN204" s="159"/>
      <c r="AO204" s="159"/>
      <c r="AP204" s="160"/>
      <c r="AQ204" s="160"/>
      <c r="AR204" s="160"/>
      <c r="AS204" s="159"/>
      <c r="AT204" s="159"/>
      <c r="AU204" s="161"/>
      <c r="AV204" s="157"/>
      <c r="AW204" s="157"/>
      <c r="AX204" s="157"/>
      <c r="AY204" s="157"/>
      <c r="AZ204" s="157"/>
      <c r="BA204" s="157"/>
      <c r="BB204" s="157"/>
      <c r="BC204" s="151"/>
      <c r="BD204" s="157"/>
      <c r="BE204" s="157"/>
      <c r="BF204" s="157"/>
      <c r="BG204" s="157"/>
      <c r="BH204" s="157"/>
      <c r="BI204" s="157"/>
      <c r="BJ204" s="353"/>
      <c r="BK204" s="353"/>
      <c r="BL204" s="353"/>
      <c r="BM204" s="14"/>
      <c r="BN204" s="14"/>
      <c r="BO204" s="14"/>
    </row>
    <row r="205" spans="1:67" ht="20.100000000000001" customHeight="1">
      <c r="A205" s="157"/>
      <c r="B205" s="1"/>
      <c r="C205" s="157"/>
      <c r="D205" s="1"/>
      <c r="E205" s="150"/>
      <c r="F205" s="150"/>
      <c r="G205" s="151"/>
      <c r="H205" s="150"/>
      <c r="I205" s="150"/>
      <c r="J205" s="151"/>
      <c r="K205" s="151"/>
      <c r="L205" s="150"/>
      <c r="M205" s="151"/>
      <c r="N205" s="151"/>
      <c r="O205" s="151"/>
      <c r="P205" s="150"/>
      <c r="Q205" s="150"/>
      <c r="R205" s="158"/>
      <c r="S205" s="158"/>
      <c r="T205" s="158"/>
      <c r="U205" s="158"/>
      <c r="V205" s="1"/>
      <c r="W205" s="1"/>
      <c r="X205" s="157"/>
      <c r="Y205" s="157"/>
      <c r="Z205" s="157"/>
      <c r="AA205" s="157"/>
      <c r="AB205" s="157"/>
      <c r="AC205" s="151"/>
      <c r="AD205" s="151"/>
      <c r="AE205" s="151"/>
      <c r="AF205" s="157"/>
      <c r="AG205" s="157"/>
      <c r="AH205" s="157"/>
      <c r="AI205" s="157"/>
      <c r="AJ205" s="157"/>
      <c r="AK205" s="157"/>
      <c r="AL205" s="157"/>
      <c r="AM205" s="157"/>
      <c r="AN205" s="159"/>
      <c r="AO205" s="159"/>
      <c r="AP205" s="160"/>
      <c r="AQ205" s="160"/>
      <c r="AR205" s="160"/>
      <c r="AS205" s="159"/>
      <c r="AT205" s="159"/>
      <c r="AU205" s="161"/>
      <c r="AV205" s="157"/>
      <c r="AW205" s="157"/>
      <c r="AX205" s="157"/>
      <c r="AY205" s="157"/>
      <c r="AZ205" s="157"/>
      <c r="BA205" s="157"/>
      <c r="BB205" s="157"/>
      <c r="BC205" s="151"/>
      <c r="BD205" s="157"/>
      <c r="BE205" s="157"/>
      <c r="BF205" s="157"/>
      <c r="BG205" s="157"/>
      <c r="BH205" s="157"/>
      <c r="BI205" s="157"/>
      <c r="BJ205" s="353"/>
      <c r="BK205" s="353"/>
      <c r="BL205" s="353"/>
      <c r="BM205" s="14"/>
      <c r="BN205" s="14"/>
      <c r="BO205" s="14"/>
    </row>
    <row r="206" spans="1:67" ht="20.100000000000001" customHeight="1">
      <c r="A206" s="157"/>
      <c r="B206" s="1"/>
      <c r="C206" s="157"/>
      <c r="D206" s="1"/>
      <c r="E206" s="150"/>
      <c r="F206" s="150"/>
      <c r="G206" s="151"/>
      <c r="H206" s="150"/>
      <c r="I206" s="150"/>
      <c r="J206" s="151"/>
      <c r="K206" s="151"/>
      <c r="L206" s="150"/>
      <c r="M206" s="151"/>
      <c r="N206" s="151"/>
      <c r="O206" s="151"/>
      <c r="P206" s="150"/>
      <c r="Q206" s="150"/>
      <c r="R206" s="158"/>
      <c r="S206" s="158"/>
      <c r="T206" s="158"/>
      <c r="U206" s="158"/>
      <c r="V206" s="1"/>
      <c r="W206" s="1"/>
      <c r="X206" s="157"/>
      <c r="Y206" s="157"/>
      <c r="Z206" s="157"/>
      <c r="AA206" s="157"/>
      <c r="AB206" s="157"/>
      <c r="AC206" s="151"/>
      <c r="AD206" s="151"/>
      <c r="AE206" s="151"/>
      <c r="AF206" s="157"/>
      <c r="AG206" s="157"/>
      <c r="AH206" s="157"/>
      <c r="AI206" s="157"/>
      <c r="AJ206" s="157"/>
      <c r="AK206" s="157"/>
      <c r="AL206" s="157"/>
      <c r="AM206" s="157"/>
      <c r="AN206" s="159"/>
      <c r="AO206" s="159"/>
      <c r="AP206" s="160"/>
      <c r="AQ206" s="160"/>
      <c r="AR206" s="160"/>
      <c r="AS206" s="159"/>
      <c r="AT206" s="159"/>
      <c r="AU206" s="161"/>
      <c r="AV206" s="157"/>
      <c r="AW206" s="157"/>
      <c r="AX206" s="157"/>
      <c r="AY206" s="157"/>
      <c r="AZ206" s="157"/>
      <c r="BA206" s="157"/>
      <c r="BB206" s="157"/>
      <c r="BC206" s="151"/>
      <c r="BD206" s="157"/>
      <c r="BE206" s="157"/>
      <c r="BF206" s="157"/>
      <c r="BG206" s="157"/>
      <c r="BH206" s="157"/>
      <c r="BI206" s="157"/>
      <c r="BJ206" s="353"/>
      <c r="BK206" s="353"/>
      <c r="BL206" s="353"/>
      <c r="BM206" s="14"/>
      <c r="BN206" s="14"/>
      <c r="BO206" s="14"/>
    </row>
    <row r="207" spans="1:67" ht="20.100000000000001" customHeight="1">
      <c r="A207" s="157"/>
      <c r="B207" s="1"/>
      <c r="C207" s="157"/>
      <c r="D207" s="1"/>
      <c r="E207" s="150"/>
      <c r="F207" s="150"/>
      <c r="G207" s="151"/>
      <c r="H207" s="150"/>
      <c r="I207" s="150"/>
      <c r="J207" s="151"/>
      <c r="K207" s="151"/>
      <c r="L207" s="150"/>
      <c r="M207" s="151"/>
      <c r="N207" s="151"/>
      <c r="O207" s="151"/>
      <c r="P207" s="150"/>
      <c r="Q207" s="150"/>
      <c r="R207" s="158"/>
      <c r="S207" s="158"/>
      <c r="T207" s="158"/>
      <c r="U207" s="158"/>
      <c r="V207" s="1"/>
      <c r="W207" s="1"/>
      <c r="X207" s="157"/>
      <c r="Y207" s="157"/>
      <c r="Z207" s="157"/>
      <c r="AA207" s="157"/>
      <c r="AB207" s="157"/>
      <c r="AC207" s="151"/>
      <c r="AD207" s="151"/>
      <c r="AE207" s="151"/>
      <c r="AF207" s="157"/>
      <c r="AG207" s="157"/>
      <c r="AH207" s="157"/>
      <c r="AI207" s="157"/>
      <c r="AJ207" s="157"/>
      <c r="AK207" s="157"/>
      <c r="AL207" s="157"/>
      <c r="AM207" s="157"/>
      <c r="AN207" s="159"/>
      <c r="AO207" s="159"/>
      <c r="AP207" s="160"/>
      <c r="AQ207" s="160"/>
      <c r="AR207" s="160"/>
      <c r="AS207" s="159"/>
      <c r="AT207" s="159"/>
      <c r="AU207" s="161"/>
      <c r="AV207" s="157"/>
      <c r="AW207" s="157"/>
      <c r="AX207" s="157"/>
      <c r="AY207" s="157"/>
      <c r="AZ207" s="157"/>
      <c r="BA207" s="157"/>
      <c r="BB207" s="157"/>
      <c r="BC207" s="151"/>
      <c r="BD207" s="157"/>
      <c r="BE207" s="157"/>
      <c r="BF207" s="157"/>
      <c r="BG207" s="157"/>
      <c r="BH207" s="157"/>
      <c r="BI207" s="157"/>
      <c r="BJ207" s="353"/>
      <c r="BK207" s="353"/>
      <c r="BL207" s="353"/>
      <c r="BM207" s="14"/>
      <c r="BN207" s="14"/>
      <c r="BO207" s="14"/>
    </row>
    <row r="208" spans="1:67" ht="20.100000000000001" customHeight="1">
      <c r="A208" s="157"/>
      <c r="B208" s="1"/>
      <c r="C208" s="157"/>
      <c r="D208" s="1"/>
      <c r="E208" s="150"/>
      <c r="F208" s="150"/>
      <c r="G208" s="151"/>
      <c r="H208" s="150"/>
      <c r="I208" s="150"/>
      <c r="J208" s="151"/>
      <c r="K208" s="151"/>
      <c r="L208" s="150"/>
      <c r="M208" s="151"/>
      <c r="N208" s="151"/>
      <c r="O208" s="151"/>
      <c r="P208" s="150"/>
      <c r="Q208" s="150"/>
      <c r="R208" s="158"/>
      <c r="S208" s="158"/>
      <c r="T208" s="158"/>
      <c r="U208" s="158"/>
      <c r="V208" s="1"/>
      <c r="W208" s="1"/>
      <c r="X208" s="157"/>
      <c r="Y208" s="157"/>
      <c r="Z208" s="157"/>
      <c r="AA208" s="157"/>
      <c r="AB208" s="157"/>
      <c r="AC208" s="151"/>
      <c r="AD208" s="151"/>
      <c r="AE208" s="151"/>
      <c r="AF208" s="157"/>
      <c r="AG208" s="157"/>
      <c r="AH208" s="157"/>
      <c r="AI208" s="157"/>
      <c r="AJ208" s="157"/>
      <c r="AK208" s="157"/>
      <c r="AL208" s="157"/>
      <c r="AM208" s="157"/>
      <c r="AN208" s="159"/>
      <c r="AO208" s="159"/>
      <c r="AP208" s="160"/>
      <c r="AQ208" s="160"/>
      <c r="AR208" s="160"/>
      <c r="AS208" s="159"/>
      <c r="AT208" s="159"/>
      <c r="AU208" s="161"/>
      <c r="AV208" s="157"/>
      <c r="AW208" s="157"/>
      <c r="AX208" s="157"/>
      <c r="AY208" s="157"/>
      <c r="AZ208" s="157"/>
      <c r="BA208" s="157"/>
      <c r="BB208" s="157"/>
      <c r="BC208" s="151"/>
      <c r="BD208" s="157"/>
      <c r="BE208" s="157"/>
      <c r="BF208" s="157"/>
      <c r="BG208" s="157"/>
      <c r="BH208" s="157"/>
      <c r="BI208" s="157"/>
      <c r="BJ208" s="353"/>
      <c r="BK208" s="353"/>
      <c r="BL208" s="353"/>
      <c r="BM208" s="14"/>
      <c r="BN208" s="14"/>
      <c r="BO208" s="14"/>
    </row>
    <row r="209" spans="1:67" ht="20.100000000000001" customHeight="1">
      <c r="A209" s="157"/>
      <c r="B209" s="1"/>
      <c r="C209" s="157"/>
      <c r="D209" s="1"/>
      <c r="E209" s="150"/>
      <c r="F209" s="150"/>
      <c r="G209" s="151"/>
      <c r="H209" s="150"/>
      <c r="I209" s="150"/>
      <c r="J209" s="151"/>
      <c r="K209" s="151"/>
      <c r="L209" s="150"/>
      <c r="M209" s="151"/>
      <c r="N209" s="151"/>
      <c r="O209" s="151"/>
      <c r="P209" s="150"/>
      <c r="Q209" s="150"/>
      <c r="R209" s="158"/>
      <c r="S209" s="158"/>
      <c r="T209" s="158"/>
      <c r="U209" s="158"/>
      <c r="V209" s="1"/>
      <c r="W209" s="1"/>
      <c r="X209" s="157"/>
      <c r="Y209" s="157"/>
      <c r="Z209" s="157"/>
      <c r="AA209" s="157"/>
      <c r="AB209" s="157"/>
      <c r="AC209" s="151"/>
      <c r="AD209" s="151"/>
      <c r="AE209" s="151"/>
      <c r="AF209" s="157"/>
      <c r="AG209" s="157"/>
      <c r="AH209" s="157"/>
      <c r="AI209" s="157"/>
      <c r="AJ209" s="157"/>
      <c r="AK209" s="157"/>
      <c r="AL209" s="157"/>
      <c r="AM209" s="157"/>
      <c r="AN209" s="159"/>
      <c r="AO209" s="159"/>
      <c r="AP209" s="160"/>
      <c r="AQ209" s="160"/>
      <c r="AR209" s="160"/>
      <c r="AS209" s="159"/>
      <c r="AT209" s="159"/>
      <c r="AU209" s="161"/>
      <c r="AV209" s="157"/>
      <c r="AW209" s="157"/>
      <c r="AX209" s="157"/>
      <c r="AY209" s="157"/>
      <c r="AZ209" s="157"/>
      <c r="BA209" s="157"/>
      <c r="BB209" s="157"/>
      <c r="BC209" s="151"/>
      <c r="BD209" s="157"/>
      <c r="BE209" s="157"/>
      <c r="BF209" s="157"/>
      <c r="BG209" s="157"/>
      <c r="BH209" s="157"/>
      <c r="BI209" s="157"/>
      <c r="BJ209" s="353"/>
      <c r="BK209" s="353"/>
      <c r="BL209" s="353"/>
      <c r="BM209" s="14"/>
      <c r="BN209" s="14"/>
      <c r="BO209" s="14"/>
    </row>
    <row r="210" spans="1:67" ht="20.100000000000001" customHeight="1">
      <c r="A210" s="157"/>
      <c r="B210" s="1"/>
      <c r="C210" s="157"/>
      <c r="D210" s="1"/>
      <c r="E210" s="150"/>
      <c r="F210" s="150"/>
      <c r="G210" s="151"/>
      <c r="H210" s="150"/>
      <c r="I210" s="150"/>
      <c r="J210" s="151"/>
      <c r="K210" s="151"/>
      <c r="L210" s="150"/>
      <c r="M210" s="151"/>
      <c r="N210" s="151"/>
      <c r="O210" s="151"/>
      <c r="P210" s="150"/>
      <c r="Q210" s="150"/>
      <c r="R210" s="158"/>
      <c r="S210" s="158"/>
      <c r="T210" s="158"/>
      <c r="U210" s="158"/>
      <c r="V210" s="1"/>
      <c r="W210" s="1"/>
      <c r="X210" s="157"/>
      <c r="Y210" s="157"/>
      <c r="Z210" s="157"/>
      <c r="AA210" s="157"/>
      <c r="AB210" s="157"/>
      <c r="AC210" s="151"/>
      <c r="AD210" s="151"/>
      <c r="AE210" s="151"/>
      <c r="AF210" s="157"/>
      <c r="AG210" s="157"/>
      <c r="AH210" s="157"/>
      <c r="AI210" s="157"/>
      <c r="AJ210" s="157"/>
      <c r="AK210" s="157"/>
      <c r="AL210" s="157"/>
      <c r="AM210" s="157"/>
      <c r="AN210" s="159"/>
      <c r="AO210" s="159"/>
      <c r="AP210" s="160"/>
      <c r="AQ210" s="160"/>
      <c r="AR210" s="160"/>
      <c r="AS210" s="159"/>
      <c r="AT210" s="159"/>
      <c r="AU210" s="161"/>
      <c r="AV210" s="157"/>
      <c r="AW210" s="157"/>
      <c r="AX210" s="157"/>
      <c r="AY210" s="157"/>
      <c r="AZ210" s="157"/>
      <c r="BA210" s="157"/>
      <c r="BB210" s="157"/>
      <c r="BC210" s="151"/>
      <c r="BD210" s="157"/>
      <c r="BE210" s="157"/>
      <c r="BF210" s="157"/>
      <c r="BG210" s="157"/>
      <c r="BH210" s="157"/>
      <c r="BI210" s="157"/>
      <c r="BJ210" s="353"/>
      <c r="BK210" s="353"/>
      <c r="BL210" s="353"/>
      <c r="BM210" s="14"/>
      <c r="BN210" s="14"/>
      <c r="BO210" s="14"/>
    </row>
    <row r="211" spans="1:67" ht="20.100000000000001" customHeight="1">
      <c r="A211" s="157"/>
      <c r="B211" s="1"/>
      <c r="C211" s="157"/>
      <c r="D211" s="1"/>
      <c r="E211" s="150"/>
      <c r="F211" s="150"/>
      <c r="G211" s="151"/>
      <c r="H211" s="150"/>
      <c r="I211" s="150"/>
      <c r="J211" s="151"/>
      <c r="K211" s="151"/>
      <c r="L211" s="150"/>
      <c r="M211" s="151"/>
      <c r="N211" s="151"/>
      <c r="O211" s="151"/>
      <c r="P211" s="150"/>
      <c r="Q211" s="150"/>
      <c r="R211" s="158"/>
      <c r="S211" s="158"/>
      <c r="T211" s="158"/>
      <c r="U211" s="158"/>
      <c r="V211" s="1"/>
      <c r="W211" s="1"/>
      <c r="X211" s="157"/>
      <c r="Y211" s="157"/>
      <c r="Z211" s="157"/>
      <c r="AA211" s="157"/>
      <c r="AB211" s="157"/>
      <c r="AC211" s="151"/>
      <c r="AD211" s="151"/>
      <c r="AE211" s="151"/>
      <c r="AF211" s="157"/>
      <c r="AG211" s="157"/>
      <c r="AH211" s="157"/>
      <c r="AI211" s="157"/>
      <c r="AJ211" s="157"/>
      <c r="AK211" s="157"/>
      <c r="AL211" s="157"/>
      <c r="AM211" s="157"/>
      <c r="AN211" s="159"/>
      <c r="AO211" s="159"/>
      <c r="AP211" s="160"/>
      <c r="AQ211" s="160"/>
      <c r="AR211" s="160"/>
      <c r="AS211" s="159"/>
      <c r="AT211" s="159"/>
      <c r="AU211" s="161"/>
      <c r="AV211" s="157"/>
      <c r="AW211" s="157"/>
      <c r="AX211" s="157"/>
      <c r="AY211" s="157"/>
      <c r="AZ211" s="157"/>
      <c r="BA211" s="157"/>
      <c r="BB211" s="157"/>
      <c r="BC211" s="151"/>
      <c r="BD211" s="157"/>
      <c r="BE211" s="157"/>
      <c r="BF211" s="157"/>
      <c r="BG211" s="157"/>
      <c r="BH211" s="157"/>
      <c r="BI211" s="157"/>
      <c r="BJ211" s="353"/>
      <c r="BK211" s="353"/>
      <c r="BL211" s="353"/>
      <c r="BM211" s="14"/>
      <c r="BN211" s="14"/>
      <c r="BO211" s="14"/>
    </row>
    <row r="212" spans="1:67" ht="20.100000000000001" customHeight="1">
      <c r="A212" s="157"/>
      <c r="B212" s="1"/>
      <c r="C212" s="157"/>
      <c r="D212" s="1"/>
      <c r="E212" s="150"/>
      <c r="F212" s="150"/>
      <c r="G212" s="151"/>
      <c r="H212" s="150"/>
      <c r="I212" s="150"/>
      <c r="J212" s="151"/>
      <c r="K212" s="151"/>
      <c r="L212" s="150"/>
      <c r="M212" s="151"/>
      <c r="N212" s="151"/>
      <c r="O212" s="151"/>
      <c r="P212" s="150"/>
      <c r="Q212" s="150"/>
      <c r="R212" s="158"/>
      <c r="S212" s="158"/>
      <c r="T212" s="158"/>
      <c r="U212" s="158"/>
      <c r="V212" s="1"/>
      <c r="W212" s="1"/>
      <c r="X212" s="157"/>
      <c r="Y212" s="157"/>
      <c r="Z212" s="157"/>
      <c r="AA212" s="157"/>
      <c r="AB212" s="157"/>
      <c r="AC212" s="151"/>
      <c r="AD212" s="151"/>
      <c r="AE212" s="151"/>
      <c r="AF212" s="157"/>
      <c r="AG212" s="157"/>
      <c r="AH212" s="157"/>
      <c r="AI212" s="157"/>
      <c r="AJ212" s="157"/>
      <c r="AK212" s="157"/>
      <c r="AL212" s="157"/>
      <c r="AM212" s="157"/>
      <c r="AN212" s="159"/>
      <c r="AO212" s="159"/>
      <c r="AP212" s="160"/>
      <c r="AQ212" s="160"/>
      <c r="AR212" s="160"/>
      <c r="AS212" s="159"/>
      <c r="AT212" s="159"/>
      <c r="AU212" s="161"/>
      <c r="AV212" s="157"/>
      <c r="AW212" s="157"/>
      <c r="AX212" s="157"/>
      <c r="AY212" s="157"/>
      <c r="AZ212" s="157"/>
      <c r="BA212" s="157"/>
      <c r="BB212" s="157"/>
      <c r="BC212" s="151"/>
      <c r="BD212" s="157"/>
      <c r="BE212" s="157"/>
      <c r="BF212" s="157"/>
      <c r="BG212" s="157"/>
      <c r="BH212" s="157"/>
      <c r="BI212" s="157"/>
      <c r="BJ212" s="353"/>
      <c r="BK212" s="353"/>
      <c r="BL212" s="353"/>
      <c r="BM212" s="14"/>
      <c r="BN212" s="14"/>
      <c r="BO212" s="14"/>
    </row>
    <row r="213" spans="1:67" ht="20.100000000000001" customHeight="1">
      <c r="A213" s="157"/>
      <c r="B213" s="1"/>
      <c r="C213" s="157"/>
      <c r="D213" s="1"/>
      <c r="E213" s="150"/>
      <c r="F213" s="150"/>
      <c r="G213" s="151"/>
      <c r="H213" s="150"/>
      <c r="I213" s="150"/>
      <c r="J213" s="151"/>
      <c r="K213" s="151"/>
      <c r="L213" s="150"/>
      <c r="M213" s="151"/>
      <c r="N213" s="151"/>
      <c r="O213" s="151"/>
      <c r="P213" s="150"/>
      <c r="Q213" s="150"/>
      <c r="R213" s="158"/>
      <c r="S213" s="158"/>
      <c r="T213" s="158"/>
      <c r="U213" s="158"/>
      <c r="V213" s="1"/>
      <c r="W213" s="1"/>
      <c r="X213" s="157"/>
      <c r="Y213" s="157"/>
      <c r="Z213" s="157"/>
      <c r="AA213" s="157"/>
      <c r="AB213" s="157"/>
      <c r="AC213" s="151"/>
      <c r="AD213" s="151"/>
      <c r="AE213" s="151"/>
      <c r="AF213" s="157"/>
      <c r="AG213" s="157"/>
      <c r="AH213" s="157"/>
      <c r="AI213" s="157"/>
      <c r="AJ213" s="157"/>
      <c r="AK213" s="157"/>
      <c r="AL213" s="157"/>
      <c r="AM213" s="157"/>
      <c r="AN213" s="159"/>
      <c r="AO213" s="159"/>
      <c r="AP213" s="160"/>
      <c r="AQ213" s="160"/>
      <c r="AR213" s="160"/>
      <c r="AS213" s="159"/>
      <c r="AT213" s="159"/>
      <c r="AU213" s="161"/>
      <c r="AV213" s="157"/>
      <c r="AW213" s="157"/>
      <c r="AX213" s="157"/>
      <c r="AY213" s="157"/>
      <c r="AZ213" s="157"/>
      <c r="BA213" s="157"/>
      <c r="BB213" s="157"/>
      <c r="BC213" s="151"/>
      <c r="BD213" s="157"/>
      <c r="BE213" s="157"/>
      <c r="BF213" s="157"/>
      <c r="BG213" s="157"/>
      <c r="BH213" s="157"/>
      <c r="BI213" s="157"/>
      <c r="BJ213" s="353"/>
      <c r="BK213" s="353"/>
      <c r="BL213" s="353"/>
      <c r="BM213" s="14"/>
      <c r="BN213" s="14"/>
      <c r="BO213" s="14"/>
    </row>
    <row r="214" spans="1:67" ht="20.100000000000001" customHeight="1">
      <c r="A214" s="157"/>
      <c r="B214" s="1"/>
      <c r="C214" s="157"/>
      <c r="D214" s="1"/>
      <c r="E214" s="150"/>
      <c r="F214" s="150"/>
      <c r="G214" s="151"/>
      <c r="H214" s="150"/>
      <c r="I214" s="150"/>
      <c r="J214" s="151"/>
      <c r="K214" s="151"/>
      <c r="L214" s="150"/>
      <c r="M214" s="151"/>
      <c r="N214" s="151"/>
      <c r="O214" s="151"/>
      <c r="P214" s="150"/>
      <c r="Q214" s="150"/>
      <c r="R214" s="158"/>
      <c r="S214" s="158"/>
      <c r="T214" s="158"/>
      <c r="U214" s="158"/>
      <c r="V214" s="1"/>
      <c r="W214" s="1"/>
      <c r="X214" s="157"/>
      <c r="Y214" s="157"/>
      <c r="Z214" s="157"/>
      <c r="AA214" s="157"/>
      <c r="AB214" s="157"/>
      <c r="AC214" s="151"/>
      <c r="AD214" s="151"/>
      <c r="AE214" s="151"/>
      <c r="AF214" s="157"/>
      <c r="AG214" s="157"/>
      <c r="AH214" s="157"/>
      <c r="AI214" s="157"/>
      <c r="AJ214" s="157"/>
      <c r="AK214" s="157"/>
      <c r="AL214" s="157"/>
      <c r="AM214" s="157"/>
      <c r="AN214" s="159"/>
      <c r="AO214" s="159"/>
      <c r="AP214" s="160"/>
      <c r="AQ214" s="160"/>
      <c r="AR214" s="160"/>
      <c r="AS214" s="159"/>
      <c r="AT214" s="159"/>
      <c r="AU214" s="161"/>
      <c r="AV214" s="157"/>
      <c r="AW214" s="157"/>
      <c r="AX214" s="157"/>
      <c r="AY214" s="157"/>
      <c r="AZ214" s="157"/>
      <c r="BA214" s="157"/>
      <c r="BB214" s="157"/>
      <c r="BC214" s="151"/>
      <c r="BD214" s="157"/>
      <c r="BE214" s="157"/>
      <c r="BF214" s="157"/>
      <c r="BG214" s="157"/>
      <c r="BH214" s="157"/>
      <c r="BI214" s="157"/>
      <c r="BJ214" s="353"/>
      <c r="BK214" s="353"/>
      <c r="BL214" s="353"/>
      <c r="BM214" s="14"/>
      <c r="BN214" s="14"/>
      <c r="BO214" s="14"/>
    </row>
    <row r="215" spans="1:67" ht="20.100000000000001" customHeight="1">
      <c r="A215" s="157"/>
      <c r="B215" s="1"/>
      <c r="C215" s="157"/>
      <c r="D215" s="1"/>
      <c r="E215" s="150"/>
      <c r="F215" s="150"/>
      <c r="G215" s="151"/>
      <c r="H215" s="150"/>
      <c r="I215" s="150"/>
      <c r="J215" s="151"/>
      <c r="K215" s="151"/>
      <c r="L215" s="150"/>
      <c r="M215" s="151"/>
      <c r="N215" s="151"/>
      <c r="O215" s="151"/>
      <c r="P215" s="150"/>
      <c r="Q215" s="150"/>
      <c r="R215" s="158"/>
      <c r="S215" s="158"/>
      <c r="T215" s="158"/>
      <c r="U215" s="158"/>
      <c r="V215" s="1"/>
      <c r="W215" s="1"/>
      <c r="X215" s="157"/>
      <c r="Y215" s="157"/>
      <c r="Z215" s="157"/>
      <c r="AA215" s="157"/>
      <c r="AB215" s="157"/>
      <c r="AC215" s="151"/>
      <c r="AD215" s="151"/>
      <c r="AE215" s="151"/>
      <c r="AF215" s="157"/>
      <c r="AG215" s="157"/>
      <c r="AH215" s="157"/>
      <c r="AI215" s="157"/>
      <c r="AJ215" s="157"/>
      <c r="AK215" s="157"/>
      <c r="AL215" s="157"/>
      <c r="AM215" s="157"/>
      <c r="AN215" s="159"/>
      <c r="AO215" s="159"/>
      <c r="AP215" s="160"/>
      <c r="AQ215" s="160"/>
      <c r="AR215" s="160"/>
      <c r="AS215" s="159"/>
      <c r="AT215" s="159"/>
      <c r="AU215" s="161"/>
      <c r="AV215" s="157"/>
      <c r="AW215" s="157"/>
      <c r="AX215" s="157"/>
      <c r="AY215" s="157"/>
      <c r="AZ215" s="157"/>
      <c r="BA215" s="157"/>
      <c r="BB215" s="157"/>
      <c r="BC215" s="151"/>
      <c r="BD215" s="157"/>
      <c r="BE215" s="157"/>
      <c r="BF215" s="157"/>
      <c r="BG215" s="157"/>
      <c r="BH215" s="157"/>
      <c r="BI215" s="157"/>
      <c r="BJ215" s="353"/>
      <c r="BK215" s="353"/>
      <c r="BL215" s="353"/>
      <c r="BM215" s="14"/>
      <c r="BN215" s="14"/>
      <c r="BO215" s="14"/>
    </row>
    <row r="216" spans="1:67" ht="20.100000000000001" customHeight="1">
      <c r="A216" s="157"/>
      <c r="B216" s="1"/>
      <c r="C216" s="157"/>
      <c r="D216" s="1"/>
      <c r="E216" s="150"/>
      <c r="F216" s="150"/>
      <c r="G216" s="151"/>
      <c r="H216" s="150"/>
      <c r="I216" s="150"/>
      <c r="J216" s="151"/>
      <c r="K216" s="151"/>
      <c r="L216" s="150"/>
      <c r="M216" s="151"/>
      <c r="N216" s="151"/>
      <c r="O216" s="151"/>
      <c r="P216" s="150"/>
      <c r="Q216" s="150"/>
      <c r="R216" s="158"/>
      <c r="S216" s="158"/>
      <c r="T216" s="158"/>
      <c r="U216" s="158"/>
      <c r="V216" s="1"/>
      <c r="W216" s="1"/>
      <c r="X216" s="157"/>
      <c r="Y216" s="157"/>
      <c r="Z216" s="157"/>
      <c r="AA216" s="157"/>
      <c r="AB216" s="157"/>
      <c r="AC216" s="151"/>
      <c r="AD216" s="151"/>
      <c r="AE216" s="151"/>
      <c r="AF216" s="157"/>
      <c r="AG216" s="157"/>
      <c r="AH216" s="157"/>
      <c r="AI216" s="157"/>
      <c r="AJ216" s="157"/>
      <c r="AK216" s="157"/>
      <c r="AL216" s="157"/>
      <c r="AM216" s="157"/>
      <c r="AN216" s="159"/>
      <c r="AO216" s="159"/>
      <c r="AP216" s="160"/>
      <c r="AQ216" s="160"/>
      <c r="AR216" s="160"/>
      <c r="AS216" s="159"/>
      <c r="AT216" s="159"/>
      <c r="AU216" s="161"/>
      <c r="AV216" s="157"/>
      <c r="AW216" s="157"/>
      <c r="AX216" s="157"/>
      <c r="AY216" s="157"/>
      <c r="AZ216" s="157"/>
      <c r="BA216" s="157"/>
      <c r="BB216" s="157"/>
      <c r="BC216" s="151"/>
      <c r="BD216" s="157"/>
      <c r="BE216" s="157"/>
      <c r="BF216" s="157"/>
      <c r="BG216" s="157"/>
      <c r="BH216" s="157"/>
      <c r="BI216" s="157"/>
      <c r="BJ216" s="353"/>
      <c r="BK216" s="353"/>
      <c r="BL216" s="353"/>
      <c r="BM216" s="14"/>
      <c r="BN216" s="14"/>
      <c r="BO216" s="14"/>
    </row>
    <row r="217" spans="1:67" ht="20.100000000000001" customHeight="1">
      <c r="A217" s="157"/>
      <c r="B217" s="1"/>
      <c r="C217" s="157"/>
      <c r="D217" s="1"/>
      <c r="E217" s="150"/>
      <c r="F217" s="150"/>
      <c r="G217" s="151"/>
      <c r="H217" s="150"/>
      <c r="I217" s="150"/>
      <c r="J217" s="151"/>
      <c r="K217" s="151"/>
      <c r="L217" s="150"/>
      <c r="M217" s="151"/>
      <c r="N217" s="151"/>
      <c r="O217" s="151"/>
      <c r="P217" s="150"/>
      <c r="Q217" s="150"/>
      <c r="R217" s="158"/>
      <c r="S217" s="158"/>
      <c r="T217" s="158"/>
      <c r="U217" s="158"/>
      <c r="V217" s="1"/>
      <c r="W217" s="1"/>
      <c r="X217" s="157"/>
      <c r="Y217" s="157"/>
      <c r="Z217" s="157"/>
      <c r="AA217" s="157"/>
      <c r="AB217" s="157"/>
      <c r="AC217" s="151"/>
      <c r="AD217" s="151"/>
      <c r="AE217" s="151"/>
      <c r="AF217" s="157"/>
      <c r="AG217" s="157"/>
      <c r="AH217" s="157"/>
      <c r="AI217" s="157"/>
      <c r="AJ217" s="157"/>
      <c r="AK217" s="157"/>
      <c r="AL217" s="157"/>
      <c r="AM217" s="157"/>
      <c r="AN217" s="159"/>
      <c r="AO217" s="159"/>
      <c r="AP217" s="160"/>
      <c r="AQ217" s="160"/>
      <c r="AR217" s="160"/>
      <c r="AS217" s="159"/>
      <c r="AT217" s="159"/>
      <c r="AU217" s="161"/>
      <c r="AV217" s="157"/>
      <c r="AW217" s="157"/>
      <c r="AX217" s="157"/>
      <c r="AY217" s="157"/>
      <c r="AZ217" s="157"/>
      <c r="BA217" s="157"/>
      <c r="BB217" s="157"/>
      <c r="BC217" s="151"/>
      <c r="BD217" s="157"/>
      <c r="BE217" s="157"/>
      <c r="BF217" s="157"/>
      <c r="BG217" s="157"/>
      <c r="BH217" s="157"/>
      <c r="BI217" s="157"/>
      <c r="BJ217" s="353"/>
      <c r="BK217" s="353"/>
      <c r="BL217" s="353"/>
      <c r="BM217" s="14"/>
      <c r="BN217" s="14"/>
      <c r="BO217" s="14"/>
    </row>
    <row r="218" spans="1:67" ht="20.100000000000001" customHeight="1">
      <c r="A218" s="157"/>
      <c r="B218" s="1"/>
      <c r="C218" s="157"/>
      <c r="D218" s="1"/>
      <c r="E218" s="150"/>
      <c r="F218" s="150"/>
      <c r="G218" s="151"/>
      <c r="H218" s="150"/>
      <c r="I218" s="150"/>
      <c r="J218" s="151"/>
      <c r="K218" s="151"/>
      <c r="L218" s="150"/>
      <c r="M218" s="151"/>
      <c r="N218" s="151"/>
      <c r="O218" s="151"/>
      <c r="P218" s="150"/>
      <c r="Q218" s="150"/>
      <c r="R218" s="158"/>
      <c r="S218" s="158"/>
      <c r="T218" s="158"/>
      <c r="U218" s="158"/>
      <c r="V218" s="1"/>
      <c r="W218" s="1"/>
      <c r="X218" s="157"/>
      <c r="Y218" s="157"/>
      <c r="Z218" s="157"/>
      <c r="AA218" s="157"/>
      <c r="AB218" s="157"/>
      <c r="AC218" s="151"/>
      <c r="AD218" s="151"/>
      <c r="AE218" s="151"/>
      <c r="AF218" s="157"/>
      <c r="AG218" s="157"/>
      <c r="AH218" s="157"/>
      <c r="AI218" s="157"/>
      <c r="AJ218" s="157"/>
      <c r="AK218" s="157"/>
      <c r="AL218" s="157"/>
      <c r="AM218" s="157"/>
      <c r="AN218" s="159"/>
      <c r="AO218" s="159"/>
      <c r="AP218" s="160"/>
      <c r="AQ218" s="160"/>
      <c r="AR218" s="160"/>
      <c r="AS218" s="159"/>
      <c r="AT218" s="159"/>
      <c r="AU218" s="161"/>
      <c r="AV218" s="157"/>
      <c r="AW218" s="157"/>
      <c r="AX218" s="157"/>
      <c r="AY218" s="157"/>
      <c r="AZ218" s="157"/>
      <c r="BA218" s="157"/>
      <c r="BB218" s="157"/>
      <c r="BC218" s="151"/>
      <c r="BD218" s="157"/>
      <c r="BE218" s="157"/>
      <c r="BF218" s="157"/>
      <c r="BG218" s="157"/>
      <c r="BH218" s="157"/>
      <c r="BI218" s="157"/>
      <c r="BJ218" s="353"/>
      <c r="BK218" s="353"/>
      <c r="BL218" s="353"/>
      <c r="BM218" s="14"/>
      <c r="BN218" s="14"/>
      <c r="BO218" s="14"/>
    </row>
    <row r="219" spans="1:67" ht="20.100000000000001" customHeight="1">
      <c r="A219" s="157"/>
      <c r="B219" s="1"/>
      <c r="C219" s="157"/>
      <c r="D219" s="1"/>
      <c r="E219" s="150"/>
      <c r="F219" s="150"/>
      <c r="G219" s="151"/>
      <c r="H219" s="150"/>
      <c r="I219" s="150"/>
      <c r="J219" s="151"/>
      <c r="K219" s="151"/>
      <c r="L219" s="150"/>
      <c r="M219" s="151"/>
      <c r="N219" s="151"/>
      <c r="O219" s="151"/>
      <c r="P219" s="150"/>
      <c r="Q219" s="150"/>
      <c r="R219" s="158"/>
      <c r="S219" s="158"/>
      <c r="T219" s="158"/>
      <c r="U219" s="158"/>
      <c r="V219" s="1"/>
      <c r="W219" s="1"/>
      <c r="X219" s="157"/>
      <c r="Y219" s="157"/>
      <c r="Z219" s="157"/>
      <c r="AA219" s="157"/>
      <c r="AB219" s="157"/>
      <c r="AC219" s="151"/>
      <c r="AD219" s="151"/>
      <c r="AE219" s="151"/>
      <c r="AF219" s="157"/>
      <c r="AG219" s="157"/>
      <c r="AH219" s="157"/>
      <c r="AI219" s="157"/>
      <c r="AJ219" s="157"/>
      <c r="AK219" s="157"/>
      <c r="AL219" s="157"/>
      <c r="AM219" s="157"/>
      <c r="AN219" s="159"/>
      <c r="AO219" s="159"/>
      <c r="AP219" s="160"/>
      <c r="AQ219" s="160"/>
      <c r="AR219" s="160"/>
      <c r="AS219" s="159"/>
      <c r="AT219" s="159"/>
      <c r="AU219" s="161"/>
      <c r="AV219" s="157"/>
      <c r="AW219" s="157"/>
      <c r="AX219" s="157"/>
      <c r="AY219" s="157"/>
      <c r="AZ219" s="157"/>
      <c r="BA219" s="157"/>
      <c r="BB219" s="157"/>
      <c r="BC219" s="151"/>
      <c r="BD219" s="157"/>
      <c r="BE219" s="157"/>
      <c r="BF219" s="157"/>
      <c r="BG219" s="157"/>
      <c r="BH219" s="157"/>
      <c r="BI219" s="157"/>
      <c r="BJ219" s="353"/>
      <c r="BK219" s="353"/>
      <c r="BL219" s="353"/>
      <c r="BM219" s="14"/>
      <c r="BN219" s="14"/>
      <c r="BO219" s="14"/>
    </row>
    <row r="220" spans="1:67" ht="20.100000000000001" customHeight="1">
      <c r="A220" s="157"/>
      <c r="B220" s="1"/>
      <c r="C220" s="157"/>
      <c r="D220" s="1"/>
      <c r="E220" s="150"/>
      <c r="F220" s="150"/>
      <c r="G220" s="151"/>
      <c r="H220" s="150"/>
      <c r="I220" s="150"/>
      <c r="J220" s="151"/>
      <c r="K220" s="151"/>
      <c r="L220" s="150"/>
      <c r="M220" s="151"/>
      <c r="N220" s="151"/>
      <c r="O220" s="151"/>
      <c r="P220" s="150"/>
      <c r="Q220" s="150"/>
      <c r="R220" s="158"/>
      <c r="S220" s="158"/>
      <c r="T220" s="158"/>
      <c r="U220" s="158"/>
      <c r="V220" s="1"/>
      <c r="W220" s="1"/>
      <c r="X220" s="157"/>
      <c r="Y220" s="157"/>
      <c r="Z220" s="157"/>
      <c r="AA220" s="157"/>
      <c r="AB220" s="157"/>
      <c r="AC220" s="151"/>
      <c r="AD220" s="151"/>
      <c r="AE220" s="151"/>
      <c r="AF220" s="157"/>
      <c r="AG220" s="157"/>
      <c r="AH220" s="157"/>
      <c r="AI220" s="157"/>
      <c r="AJ220" s="157"/>
      <c r="AK220" s="157"/>
      <c r="AL220" s="157"/>
      <c r="AM220" s="157"/>
      <c r="AN220" s="159"/>
      <c r="AO220" s="159"/>
      <c r="AP220" s="160"/>
      <c r="AQ220" s="160"/>
      <c r="AR220" s="160"/>
      <c r="AS220" s="159"/>
      <c r="AT220" s="159"/>
      <c r="AU220" s="161"/>
      <c r="AV220" s="157"/>
      <c r="AW220" s="157"/>
      <c r="AX220" s="157"/>
      <c r="AY220" s="157"/>
      <c r="AZ220" s="157"/>
      <c r="BA220" s="157"/>
      <c r="BB220" s="157"/>
      <c r="BC220" s="151"/>
      <c r="BD220" s="157"/>
      <c r="BE220" s="157"/>
      <c r="BF220" s="157"/>
      <c r="BG220" s="157"/>
      <c r="BH220" s="157"/>
      <c r="BI220" s="157"/>
      <c r="BJ220" s="353"/>
      <c r="BK220" s="353"/>
      <c r="BL220" s="353"/>
      <c r="BM220" s="14"/>
      <c r="BN220" s="14"/>
      <c r="BO220" s="14"/>
    </row>
    <row r="221" spans="1:67" ht="20.100000000000001" customHeight="1">
      <c r="A221" s="157"/>
      <c r="B221" s="1"/>
      <c r="C221" s="157"/>
      <c r="D221" s="1"/>
      <c r="E221" s="150"/>
      <c r="F221" s="150"/>
      <c r="G221" s="151"/>
      <c r="H221" s="150"/>
      <c r="I221" s="150"/>
      <c r="J221" s="151"/>
      <c r="K221" s="151"/>
      <c r="L221" s="150"/>
      <c r="M221" s="151"/>
      <c r="N221" s="151"/>
      <c r="O221" s="151"/>
      <c r="P221" s="150"/>
      <c r="Q221" s="150"/>
      <c r="R221" s="158"/>
      <c r="S221" s="158"/>
      <c r="T221" s="158"/>
      <c r="U221" s="158"/>
      <c r="V221" s="1"/>
      <c r="W221" s="1"/>
      <c r="X221" s="157"/>
      <c r="Y221" s="157"/>
      <c r="Z221" s="157"/>
      <c r="AA221" s="157"/>
      <c r="AB221" s="157"/>
      <c r="AC221" s="151"/>
      <c r="AD221" s="151"/>
      <c r="AE221" s="151"/>
      <c r="AF221" s="157"/>
      <c r="AG221" s="157"/>
      <c r="AH221" s="157"/>
      <c r="AI221" s="157"/>
      <c r="AJ221" s="157"/>
      <c r="AK221" s="157"/>
      <c r="AL221" s="157"/>
      <c r="AM221" s="157"/>
      <c r="AN221" s="159"/>
      <c r="AO221" s="159"/>
      <c r="AP221" s="160"/>
      <c r="AQ221" s="160"/>
      <c r="AR221" s="160"/>
      <c r="AS221" s="159"/>
      <c r="AT221" s="159"/>
      <c r="AU221" s="161"/>
      <c r="AV221" s="157"/>
      <c r="AW221" s="157"/>
      <c r="AX221" s="157"/>
      <c r="AY221" s="157"/>
      <c r="AZ221" s="157"/>
      <c r="BA221" s="157"/>
      <c r="BB221" s="157"/>
      <c r="BC221" s="151"/>
      <c r="BD221" s="157"/>
      <c r="BE221" s="157"/>
      <c r="BF221" s="157"/>
      <c r="BG221" s="157"/>
      <c r="BH221" s="157"/>
      <c r="BI221" s="157"/>
      <c r="BJ221" s="353"/>
      <c r="BK221" s="353"/>
      <c r="BL221" s="353"/>
      <c r="BM221" s="14"/>
      <c r="BN221" s="14"/>
      <c r="BO221" s="14"/>
    </row>
    <row r="222" spans="1:67" ht="20.100000000000001" customHeight="1">
      <c r="A222" s="157"/>
      <c r="B222" s="1"/>
      <c r="C222" s="157"/>
      <c r="D222" s="1"/>
      <c r="E222" s="150"/>
      <c r="F222" s="150"/>
      <c r="G222" s="151"/>
      <c r="H222" s="150"/>
      <c r="I222" s="150"/>
      <c r="J222" s="151"/>
      <c r="K222" s="151"/>
      <c r="L222" s="150"/>
      <c r="M222" s="151"/>
      <c r="N222" s="151"/>
      <c r="O222" s="151"/>
      <c r="P222" s="150"/>
      <c r="Q222" s="150"/>
      <c r="R222" s="158"/>
      <c r="S222" s="158"/>
      <c r="T222" s="158"/>
      <c r="U222" s="158"/>
      <c r="V222" s="1"/>
      <c r="W222" s="1"/>
      <c r="X222" s="157"/>
      <c r="Y222" s="157"/>
      <c r="Z222" s="157"/>
      <c r="AA222" s="157"/>
      <c r="AB222" s="157"/>
      <c r="AC222" s="151"/>
      <c r="AD222" s="151"/>
      <c r="AE222" s="151"/>
      <c r="AF222" s="157"/>
      <c r="AG222" s="157"/>
      <c r="AH222" s="157"/>
      <c r="AI222" s="157"/>
      <c r="AJ222" s="157"/>
      <c r="AK222" s="157"/>
      <c r="AL222" s="157"/>
      <c r="AM222" s="157"/>
      <c r="AN222" s="159"/>
      <c r="AO222" s="159"/>
      <c r="AP222" s="160"/>
      <c r="AQ222" s="160"/>
      <c r="AR222" s="160"/>
      <c r="AS222" s="159"/>
      <c r="AT222" s="159"/>
      <c r="AU222" s="161"/>
      <c r="AV222" s="157"/>
      <c r="AW222" s="157"/>
      <c r="AX222" s="157"/>
      <c r="AY222" s="157"/>
      <c r="AZ222" s="157"/>
      <c r="BA222" s="157"/>
      <c r="BB222" s="157"/>
      <c r="BC222" s="151"/>
      <c r="BD222" s="157"/>
      <c r="BE222" s="157"/>
      <c r="BF222" s="157"/>
      <c r="BG222" s="157"/>
      <c r="BH222" s="157"/>
      <c r="BI222" s="157"/>
      <c r="BJ222" s="353"/>
      <c r="BK222" s="353"/>
      <c r="BL222" s="353"/>
      <c r="BM222" s="14"/>
      <c r="BN222" s="14"/>
      <c r="BO222" s="14"/>
    </row>
    <row r="223" spans="1:67" ht="20.100000000000001" customHeight="1">
      <c r="A223" s="157"/>
      <c r="B223" s="1"/>
      <c r="C223" s="157"/>
      <c r="D223" s="1"/>
      <c r="E223" s="150"/>
      <c r="F223" s="150"/>
      <c r="G223" s="151"/>
      <c r="H223" s="150"/>
      <c r="I223" s="150"/>
      <c r="J223" s="151"/>
      <c r="K223" s="151"/>
      <c r="L223" s="150"/>
      <c r="M223" s="151"/>
      <c r="N223" s="151"/>
      <c r="O223" s="151"/>
      <c r="P223" s="150"/>
      <c r="Q223" s="150"/>
      <c r="R223" s="158"/>
      <c r="S223" s="158"/>
      <c r="T223" s="158"/>
      <c r="U223" s="158"/>
      <c r="V223" s="1"/>
      <c r="W223" s="1"/>
      <c r="X223" s="157"/>
      <c r="Y223" s="157"/>
      <c r="Z223" s="157"/>
      <c r="AA223" s="157"/>
      <c r="AB223" s="157"/>
      <c r="AC223" s="151"/>
      <c r="AD223" s="151"/>
      <c r="AE223" s="151"/>
      <c r="AF223" s="157"/>
      <c r="AG223" s="157"/>
      <c r="AH223" s="157"/>
      <c r="AI223" s="157"/>
      <c r="AJ223" s="157"/>
      <c r="AK223" s="157"/>
      <c r="AL223" s="157"/>
      <c r="AM223" s="157"/>
      <c r="AN223" s="159"/>
      <c r="AO223" s="159"/>
      <c r="AP223" s="160"/>
      <c r="AQ223" s="160"/>
      <c r="AR223" s="160"/>
      <c r="AS223" s="159"/>
      <c r="AT223" s="159"/>
      <c r="AU223" s="161"/>
      <c r="AV223" s="157"/>
      <c r="AW223" s="157"/>
      <c r="AX223" s="157"/>
      <c r="AY223" s="157"/>
      <c r="AZ223" s="157"/>
      <c r="BA223" s="157"/>
      <c r="BB223" s="157"/>
      <c r="BC223" s="151"/>
      <c r="BD223" s="157"/>
      <c r="BE223" s="157"/>
      <c r="BF223" s="157"/>
      <c r="BG223" s="157"/>
      <c r="BH223" s="157"/>
      <c r="BI223" s="157"/>
      <c r="BJ223" s="353"/>
      <c r="BK223" s="353"/>
      <c r="BL223" s="353"/>
      <c r="BM223" s="14"/>
      <c r="BN223" s="14"/>
      <c r="BO223" s="14"/>
    </row>
    <row r="224" spans="1:67" ht="20.100000000000001" customHeight="1">
      <c r="A224" s="157"/>
      <c r="B224" s="1"/>
      <c r="C224" s="157"/>
      <c r="D224" s="1"/>
      <c r="E224" s="150"/>
      <c r="F224" s="150"/>
      <c r="G224" s="151"/>
      <c r="H224" s="150"/>
      <c r="I224" s="150"/>
      <c r="J224" s="151"/>
      <c r="K224" s="151"/>
      <c r="L224" s="150"/>
      <c r="M224" s="151"/>
      <c r="N224" s="151"/>
      <c r="O224" s="151"/>
      <c r="P224" s="150"/>
      <c r="Q224" s="150"/>
      <c r="R224" s="158"/>
      <c r="S224" s="158"/>
      <c r="T224" s="158"/>
      <c r="U224" s="158"/>
      <c r="V224" s="1"/>
      <c r="W224" s="1"/>
      <c r="X224" s="157"/>
      <c r="Y224" s="157"/>
      <c r="Z224" s="157"/>
      <c r="AA224" s="157"/>
      <c r="AB224" s="157"/>
      <c r="AC224" s="151"/>
      <c r="AD224" s="151"/>
      <c r="AE224" s="151"/>
      <c r="AF224" s="157"/>
      <c r="AG224" s="157"/>
      <c r="AH224" s="157"/>
      <c r="AI224" s="157"/>
      <c r="AJ224" s="157"/>
      <c r="AK224" s="157"/>
      <c r="AL224" s="157"/>
      <c r="AM224" s="157"/>
      <c r="AN224" s="159"/>
      <c r="AO224" s="159"/>
      <c r="AP224" s="160"/>
      <c r="AQ224" s="160"/>
      <c r="AR224" s="160"/>
      <c r="AS224" s="159"/>
      <c r="AT224" s="159"/>
      <c r="AU224" s="161"/>
      <c r="AV224" s="157"/>
      <c r="AW224" s="157"/>
      <c r="AX224" s="157"/>
      <c r="AY224" s="157"/>
      <c r="AZ224" s="157"/>
      <c r="BA224" s="157"/>
      <c r="BB224" s="157"/>
      <c r="BC224" s="151"/>
      <c r="BD224" s="157"/>
      <c r="BE224" s="157"/>
      <c r="BF224" s="157"/>
      <c r="BG224" s="157"/>
      <c r="BH224" s="157"/>
      <c r="BI224" s="157"/>
      <c r="BJ224" s="353"/>
      <c r="BK224" s="353"/>
      <c r="BL224" s="353"/>
      <c r="BM224" s="14"/>
      <c r="BN224" s="14"/>
      <c r="BO224" s="14"/>
    </row>
    <row r="225" spans="1:67" ht="20.100000000000001" customHeight="1">
      <c r="A225" s="157"/>
      <c r="B225" s="1"/>
      <c r="C225" s="157"/>
      <c r="D225" s="1"/>
      <c r="E225" s="150"/>
      <c r="F225" s="150"/>
      <c r="G225" s="151"/>
      <c r="H225" s="150"/>
      <c r="I225" s="150"/>
      <c r="J225" s="151"/>
      <c r="K225" s="151"/>
      <c r="L225" s="150"/>
      <c r="M225" s="151"/>
      <c r="N225" s="151"/>
      <c r="O225" s="151"/>
      <c r="P225" s="150"/>
      <c r="Q225" s="150"/>
      <c r="R225" s="158"/>
      <c r="S225" s="158"/>
      <c r="T225" s="158"/>
      <c r="U225" s="158"/>
      <c r="V225" s="1"/>
      <c r="W225" s="1"/>
      <c r="X225" s="157"/>
      <c r="Y225" s="157"/>
      <c r="Z225" s="157"/>
      <c r="AA225" s="157"/>
      <c r="AB225" s="157"/>
      <c r="AC225" s="151"/>
      <c r="AD225" s="151"/>
      <c r="AE225" s="151"/>
      <c r="AF225" s="157"/>
      <c r="AG225" s="157"/>
      <c r="AH225" s="157"/>
      <c r="AI225" s="157"/>
      <c r="AJ225" s="157"/>
      <c r="AK225" s="157"/>
      <c r="AL225" s="157"/>
      <c r="AM225" s="157"/>
      <c r="AN225" s="159"/>
      <c r="AO225" s="159"/>
      <c r="AP225" s="160"/>
      <c r="AQ225" s="160"/>
      <c r="AR225" s="160"/>
      <c r="AS225" s="159"/>
      <c r="AT225" s="159"/>
      <c r="AU225" s="161"/>
      <c r="AV225" s="157"/>
      <c r="AW225" s="157"/>
      <c r="AX225" s="157"/>
      <c r="AY225" s="157"/>
      <c r="AZ225" s="157"/>
      <c r="BA225" s="157"/>
      <c r="BB225" s="157"/>
      <c r="BC225" s="151"/>
      <c r="BD225" s="157"/>
      <c r="BE225" s="157"/>
      <c r="BF225" s="157"/>
      <c r="BG225" s="157"/>
      <c r="BH225" s="157"/>
      <c r="BI225" s="157"/>
      <c r="BJ225" s="353"/>
      <c r="BK225" s="353"/>
      <c r="BL225" s="353"/>
      <c r="BM225" s="14"/>
      <c r="BN225" s="14"/>
      <c r="BO225" s="14"/>
    </row>
    <row r="226" spans="1:67" ht="20.100000000000001" customHeight="1">
      <c r="A226" s="157"/>
      <c r="B226" s="1"/>
      <c r="C226" s="157"/>
      <c r="D226" s="1"/>
      <c r="E226" s="150"/>
      <c r="F226" s="150"/>
      <c r="G226" s="151"/>
      <c r="H226" s="150"/>
      <c r="I226" s="150"/>
      <c r="J226" s="151"/>
      <c r="K226" s="151"/>
      <c r="L226" s="150"/>
      <c r="M226" s="151"/>
      <c r="N226" s="151"/>
      <c r="O226" s="151"/>
      <c r="P226" s="150"/>
      <c r="Q226" s="150"/>
      <c r="R226" s="158"/>
      <c r="S226" s="158"/>
      <c r="T226" s="158"/>
      <c r="U226" s="158"/>
      <c r="V226" s="1"/>
      <c r="W226" s="1"/>
      <c r="X226" s="157"/>
      <c r="Y226" s="157"/>
      <c r="Z226" s="157"/>
      <c r="AA226" s="157"/>
      <c r="AB226" s="157"/>
      <c r="AC226" s="151"/>
      <c r="AD226" s="151"/>
      <c r="AE226" s="151"/>
      <c r="AF226" s="157"/>
      <c r="AG226" s="157"/>
      <c r="AH226" s="157"/>
      <c r="AI226" s="157"/>
      <c r="AJ226" s="157"/>
      <c r="AK226" s="157"/>
      <c r="AL226" s="157"/>
      <c r="AM226" s="157"/>
      <c r="AN226" s="159"/>
      <c r="AO226" s="159"/>
      <c r="AP226" s="160"/>
      <c r="AQ226" s="160"/>
      <c r="AR226" s="160"/>
      <c r="AS226" s="159"/>
      <c r="AT226" s="159"/>
      <c r="AU226" s="161"/>
      <c r="AV226" s="157"/>
      <c r="AW226" s="157"/>
      <c r="AX226" s="157"/>
      <c r="AY226" s="157"/>
      <c r="AZ226" s="157"/>
      <c r="BA226" s="157"/>
      <c r="BB226" s="157"/>
      <c r="BC226" s="151"/>
      <c r="BD226" s="157"/>
      <c r="BE226" s="157"/>
      <c r="BF226" s="157"/>
      <c r="BG226" s="157"/>
      <c r="BH226" s="157"/>
      <c r="BI226" s="157"/>
      <c r="BJ226" s="353"/>
      <c r="BK226" s="353"/>
      <c r="BL226" s="353"/>
      <c r="BM226" s="14"/>
      <c r="BN226" s="14"/>
      <c r="BO226" s="14"/>
    </row>
    <row r="227" spans="1:67" ht="20.100000000000001" customHeight="1">
      <c r="A227" s="157"/>
      <c r="B227" s="1"/>
      <c r="C227" s="157"/>
      <c r="D227" s="1"/>
      <c r="E227" s="150"/>
      <c r="F227" s="150"/>
      <c r="G227" s="151"/>
      <c r="H227" s="150"/>
      <c r="I227" s="150"/>
      <c r="J227" s="151"/>
      <c r="K227" s="151"/>
      <c r="L227" s="150"/>
      <c r="M227" s="151"/>
      <c r="N227" s="151"/>
      <c r="O227" s="151"/>
      <c r="P227" s="150"/>
      <c r="Q227" s="150"/>
      <c r="R227" s="158"/>
      <c r="S227" s="158"/>
      <c r="T227" s="158"/>
      <c r="U227" s="158"/>
      <c r="V227" s="1"/>
      <c r="W227" s="1"/>
      <c r="X227" s="157"/>
      <c r="Y227" s="157"/>
      <c r="Z227" s="157"/>
      <c r="AA227" s="157"/>
      <c r="AB227" s="157"/>
      <c r="AC227" s="151"/>
      <c r="AD227" s="151"/>
      <c r="AE227" s="151"/>
      <c r="AF227" s="157"/>
      <c r="AG227" s="157"/>
      <c r="AH227" s="157"/>
      <c r="AI227" s="157"/>
      <c r="AJ227" s="157"/>
      <c r="AK227" s="157"/>
      <c r="AL227" s="157"/>
      <c r="AM227" s="157"/>
      <c r="AN227" s="159"/>
      <c r="AO227" s="159"/>
      <c r="AP227" s="160"/>
      <c r="AQ227" s="160"/>
      <c r="AR227" s="160"/>
      <c r="AS227" s="159"/>
      <c r="AT227" s="159"/>
      <c r="AU227" s="161"/>
      <c r="AV227" s="157"/>
      <c r="AW227" s="157"/>
      <c r="AX227" s="157"/>
      <c r="AY227" s="157"/>
      <c r="AZ227" s="157"/>
      <c r="BA227" s="157"/>
      <c r="BB227" s="157"/>
      <c r="BC227" s="151"/>
      <c r="BD227" s="157"/>
      <c r="BE227" s="157"/>
      <c r="BF227" s="157"/>
      <c r="BG227" s="157"/>
      <c r="BH227" s="157"/>
      <c r="BI227" s="157"/>
      <c r="BJ227" s="353"/>
      <c r="BK227" s="353"/>
      <c r="BL227" s="353"/>
      <c r="BM227" s="14"/>
      <c r="BN227" s="14"/>
      <c r="BO227" s="14"/>
    </row>
    <row r="228" spans="1:67" ht="20.100000000000001" customHeight="1">
      <c r="A228" s="157"/>
      <c r="B228" s="1"/>
      <c r="C228" s="157"/>
      <c r="D228" s="1"/>
      <c r="E228" s="150"/>
      <c r="F228" s="150"/>
      <c r="G228" s="151"/>
      <c r="H228" s="150"/>
      <c r="I228" s="150"/>
      <c r="J228" s="151"/>
      <c r="K228" s="151"/>
      <c r="L228" s="150"/>
      <c r="M228" s="151"/>
      <c r="N228" s="151"/>
      <c r="O228" s="151"/>
      <c r="P228" s="150"/>
      <c r="Q228" s="150"/>
      <c r="R228" s="158"/>
      <c r="S228" s="158"/>
      <c r="T228" s="158"/>
      <c r="U228" s="158"/>
      <c r="V228" s="1"/>
      <c r="W228" s="1"/>
      <c r="X228" s="157"/>
      <c r="Y228" s="157"/>
      <c r="Z228" s="157"/>
      <c r="AA228" s="157"/>
      <c r="AB228" s="157"/>
      <c r="AC228" s="151"/>
      <c r="AD228" s="151"/>
      <c r="AE228" s="151"/>
      <c r="AF228" s="157"/>
      <c r="AG228" s="157"/>
      <c r="AH228" s="157"/>
      <c r="AI228" s="157"/>
      <c r="AJ228" s="157"/>
      <c r="AK228" s="157"/>
      <c r="AL228" s="157"/>
      <c r="AM228" s="157"/>
      <c r="AN228" s="159"/>
      <c r="AO228" s="159"/>
      <c r="AP228" s="160"/>
      <c r="AQ228" s="160"/>
      <c r="AR228" s="160"/>
      <c r="AS228" s="159"/>
      <c r="AT228" s="159"/>
      <c r="AU228" s="161"/>
      <c r="AV228" s="157"/>
      <c r="AW228" s="157"/>
      <c r="AX228" s="157"/>
      <c r="AY228" s="157"/>
      <c r="AZ228" s="157"/>
      <c r="BA228" s="157"/>
      <c r="BB228" s="157"/>
      <c r="BC228" s="151"/>
      <c r="BD228" s="157"/>
      <c r="BE228" s="157"/>
      <c r="BF228" s="157"/>
      <c r="BG228" s="157"/>
      <c r="BH228" s="157"/>
      <c r="BI228" s="157"/>
      <c r="BJ228" s="353"/>
      <c r="BK228" s="353"/>
      <c r="BL228" s="353"/>
      <c r="BM228" s="14"/>
      <c r="BN228" s="14"/>
      <c r="BO228" s="14"/>
    </row>
    <row r="229" spans="1:67" ht="20.100000000000001" customHeight="1">
      <c r="A229" s="157"/>
      <c r="B229" s="1"/>
      <c r="C229" s="157"/>
      <c r="D229" s="1"/>
      <c r="E229" s="150"/>
      <c r="F229" s="150"/>
      <c r="G229" s="151"/>
      <c r="H229" s="150"/>
      <c r="I229" s="150"/>
      <c r="J229" s="151"/>
      <c r="K229" s="151"/>
      <c r="L229" s="150"/>
      <c r="M229" s="151"/>
      <c r="N229" s="151"/>
      <c r="O229" s="151"/>
      <c r="P229" s="150"/>
      <c r="Q229" s="150"/>
      <c r="R229" s="158"/>
      <c r="S229" s="158"/>
      <c r="T229" s="158"/>
      <c r="U229" s="158"/>
      <c r="V229" s="1"/>
      <c r="W229" s="1"/>
      <c r="X229" s="157"/>
      <c r="Y229" s="157"/>
      <c r="Z229" s="157"/>
      <c r="AA229" s="157"/>
      <c r="AB229" s="157"/>
      <c r="AC229" s="151"/>
      <c r="AD229" s="151"/>
      <c r="AE229" s="151"/>
      <c r="AF229" s="157"/>
      <c r="AG229" s="157"/>
      <c r="AH229" s="157"/>
      <c r="AI229" s="157"/>
      <c r="AJ229" s="157"/>
      <c r="AK229" s="157"/>
      <c r="AL229" s="157"/>
      <c r="AM229" s="157"/>
      <c r="AN229" s="159"/>
      <c r="AO229" s="159"/>
      <c r="AP229" s="160"/>
      <c r="AQ229" s="160"/>
      <c r="AR229" s="160"/>
      <c r="AS229" s="159"/>
      <c r="AT229" s="159"/>
      <c r="AU229" s="161"/>
      <c r="AV229" s="157"/>
      <c r="AW229" s="157"/>
      <c r="AX229" s="157"/>
      <c r="AY229" s="157"/>
      <c r="AZ229" s="157"/>
      <c r="BA229" s="157"/>
      <c r="BB229" s="157"/>
      <c r="BC229" s="151"/>
      <c r="BD229" s="157"/>
      <c r="BE229" s="157"/>
      <c r="BF229" s="157"/>
      <c r="BG229" s="157"/>
      <c r="BH229" s="157"/>
      <c r="BI229" s="157"/>
      <c r="BJ229" s="353"/>
      <c r="BK229" s="353"/>
      <c r="BL229" s="353"/>
      <c r="BM229" s="14"/>
      <c r="BN229" s="14"/>
      <c r="BO229" s="14"/>
    </row>
    <row r="230" spans="1:67" ht="20.100000000000001" customHeight="1">
      <c r="A230" s="157"/>
      <c r="B230" s="1"/>
      <c r="C230" s="157"/>
      <c r="D230" s="1"/>
      <c r="E230" s="150"/>
      <c r="F230" s="150"/>
      <c r="G230" s="151"/>
      <c r="H230" s="150"/>
      <c r="I230" s="150"/>
      <c r="J230" s="151"/>
      <c r="K230" s="151"/>
      <c r="L230" s="150"/>
      <c r="M230" s="151"/>
      <c r="N230" s="151"/>
      <c r="O230" s="151"/>
      <c r="P230" s="150"/>
      <c r="Q230" s="150"/>
      <c r="R230" s="158"/>
      <c r="S230" s="158"/>
      <c r="T230" s="158"/>
      <c r="U230" s="158"/>
      <c r="V230" s="1"/>
      <c r="W230" s="1"/>
      <c r="X230" s="157"/>
      <c r="Y230" s="157"/>
      <c r="Z230" s="157"/>
      <c r="AA230" s="157"/>
      <c r="AB230" s="157"/>
      <c r="AC230" s="151"/>
      <c r="AD230" s="151"/>
      <c r="AE230" s="151"/>
      <c r="AF230" s="157"/>
      <c r="AG230" s="157"/>
      <c r="AH230" s="157"/>
      <c r="AI230" s="157"/>
      <c r="AJ230" s="157"/>
      <c r="AK230" s="157"/>
      <c r="AL230" s="157"/>
      <c r="AM230" s="157"/>
      <c r="AN230" s="159"/>
      <c r="AO230" s="159"/>
      <c r="AP230" s="160"/>
      <c r="AQ230" s="160"/>
      <c r="AR230" s="160"/>
      <c r="AS230" s="159"/>
      <c r="AT230" s="159"/>
      <c r="AU230" s="161"/>
      <c r="AV230" s="157"/>
      <c r="AW230" s="157"/>
      <c r="AX230" s="157"/>
      <c r="AY230" s="157"/>
      <c r="AZ230" s="157"/>
      <c r="BA230" s="157"/>
      <c r="BB230" s="157"/>
      <c r="BC230" s="151"/>
      <c r="BD230" s="157"/>
      <c r="BE230" s="157"/>
      <c r="BF230" s="157"/>
      <c r="BG230" s="157"/>
      <c r="BH230" s="157"/>
      <c r="BI230" s="157"/>
      <c r="BJ230" s="353"/>
      <c r="BK230" s="353"/>
      <c r="BL230" s="353"/>
      <c r="BM230" s="14"/>
      <c r="BN230" s="14"/>
      <c r="BO230" s="14"/>
    </row>
    <row r="231" spans="1:67" ht="20.100000000000001" customHeight="1">
      <c r="A231" s="157"/>
      <c r="B231" s="1"/>
      <c r="C231" s="157"/>
      <c r="D231" s="1"/>
      <c r="E231" s="150"/>
      <c r="F231" s="150"/>
      <c r="G231" s="151"/>
      <c r="H231" s="150"/>
      <c r="I231" s="150"/>
      <c r="J231" s="151"/>
      <c r="K231" s="151"/>
      <c r="L231" s="150"/>
      <c r="M231" s="151"/>
      <c r="N231" s="151"/>
      <c r="O231" s="151"/>
      <c r="P231" s="150"/>
      <c r="Q231" s="150"/>
      <c r="R231" s="158"/>
      <c r="S231" s="158"/>
      <c r="T231" s="158"/>
      <c r="U231" s="158"/>
      <c r="V231" s="1"/>
      <c r="W231" s="1"/>
      <c r="X231" s="157"/>
      <c r="Y231" s="157"/>
      <c r="Z231" s="157"/>
      <c r="AA231" s="157"/>
      <c r="AB231" s="157"/>
      <c r="AC231" s="151"/>
      <c r="AD231" s="151"/>
      <c r="AE231" s="151"/>
      <c r="AF231" s="157"/>
      <c r="AG231" s="157"/>
      <c r="AH231" s="157"/>
      <c r="AI231" s="157"/>
      <c r="AJ231" s="157"/>
      <c r="AK231" s="157"/>
      <c r="AL231" s="157"/>
      <c r="AM231" s="157"/>
      <c r="AN231" s="159"/>
      <c r="AO231" s="159"/>
      <c r="AP231" s="160"/>
      <c r="AQ231" s="160"/>
      <c r="AR231" s="160"/>
      <c r="AS231" s="159"/>
      <c r="AT231" s="159"/>
      <c r="AU231" s="161"/>
      <c r="AV231" s="157"/>
      <c r="AW231" s="157"/>
      <c r="AX231" s="157"/>
      <c r="AY231" s="157"/>
      <c r="AZ231" s="157"/>
      <c r="BA231" s="157"/>
      <c r="BB231" s="157"/>
      <c r="BC231" s="151"/>
      <c r="BD231" s="157"/>
      <c r="BE231" s="157"/>
      <c r="BF231" s="157"/>
      <c r="BG231" s="157"/>
      <c r="BH231" s="157"/>
      <c r="BI231" s="157"/>
      <c r="BJ231" s="353"/>
      <c r="BK231" s="353"/>
      <c r="BL231" s="353"/>
      <c r="BM231" s="14"/>
      <c r="BN231" s="14"/>
      <c r="BO231" s="14"/>
    </row>
    <row r="232" spans="1:67" ht="20.100000000000001" customHeight="1">
      <c r="A232" s="157"/>
      <c r="B232" s="1"/>
      <c r="C232" s="157"/>
      <c r="D232" s="1"/>
      <c r="E232" s="150"/>
      <c r="F232" s="150"/>
      <c r="G232" s="151"/>
      <c r="H232" s="150"/>
      <c r="I232" s="150"/>
      <c r="J232" s="151"/>
      <c r="K232" s="151"/>
      <c r="L232" s="150"/>
      <c r="M232" s="151"/>
      <c r="N232" s="151"/>
      <c r="O232" s="151"/>
      <c r="P232" s="150"/>
      <c r="Q232" s="150"/>
      <c r="R232" s="158"/>
      <c r="S232" s="158"/>
      <c r="T232" s="158"/>
      <c r="U232" s="158"/>
      <c r="V232" s="1"/>
      <c r="W232" s="1"/>
      <c r="X232" s="157"/>
      <c r="Y232" s="157"/>
      <c r="Z232" s="157"/>
      <c r="AA232" s="157"/>
      <c r="AB232" s="157"/>
      <c r="AC232" s="151"/>
      <c r="AD232" s="151"/>
      <c r="AE232" s="151"/>
      <c r="AF232" s="157"/>
      <c r="AG232" s="157"/>
      <c r="AH232" s="157"/>
      <c r="AI232" s="157"/>
      <c r="AJ232" s="157"/>
      <c r="AK232" s="157"/>
      <c r="AL232" s="157"/>
      <c r="AM232" s="157"/>
      <c r="AN232" s="159"/>
      <c r="AO232" s="159"/>
      <c r="AP232" s="160"/>
      <c r="AQ232" s="160"/>
      <c r="AR232" s="160"/>
      <c r="AS232" s="159"/>
      <c r="AT232" s="159"/>
      <c r="AU232" s="161"/>
      <c r="AV232" s="157"/>
      <c r="AW232" s="157"/>
      <c r="AX232" s="157"/>
      <c r="AY232" s="157"/>
      <c r="AZ232" s="157"/>
      <c r="BA232" s="157"/>
      <c r="BB232" s="157"/>
      <c r="BC232" s="151"/>
      <c r="BD232" s="157"/>
      <c r="BE232" s="157"/>
      <c r="BF232" s="157"/>
      <c r="BG232" s="157"/>
      <c r="BH232" s="157"/>
      <c r="BI232" s="157"/>
      <c r="BJ232" s="353"/>
      <c r="BK232" s="353"/>
      <c r="BL232" s="353"/>
      <c r="BM232" s="14"/>
      <c r="BN232" s="14"/>
      <c r="BO232" s="14"/>
    </row>
    <row r="233" spans="1:67" ht="20.100000000000001" customHeight="1">
      <c r="A233" s="157"/>
      <c r="B233" s="1"/>
      <c r="C233" s="157"/>
      <c r="D233" s="1"/>
      <c r="E233" s="150"/>
      <c r="F233" s="150"/>
      <c r="G233" s="151"/>
      <c r="H233" s="150"/>
      <c r="I233" s="150"/>
      <c r="J233" s="151"/>
      <c r="K233" s="151"/>
      <c r="L233" s="150"/>
      <c r="M233" s="151"/>
      <c r="N233" s="151"/>
      <c r="O233" s="151"/>
      <c r="P233" s="150"/>
      <c r="Q233" s="150"/>
      <c r="R233" s="158"/>
      <c r="S233" s="158"/>
      <c r="T233" s="158"/>
      <c r="U233" s="158"/>
      <c r="V233" s="1"/>
      <c r="W233" s="1"/>
      <c r="X233" s="157"/>
      <c r="Y233" s="157"/>
      <c r="Z233" s="157"/>
      <c r="AA233" s="157"/>
      <c r="AB233" s="157"/>
      <c r="AC233" s="151"/>
      <c r="AD233" s="151"/>
      <c r="AE233" s="151"/>
      <c r="AF233" s="157"/>
      <c r="AG233" s="157"/>
      <c r="AH233" s="157"/>
      <c r="AI233" s="157"/>
      <c r="AJ233" s="157"/>
      <c r="AK233" s="157"/>
      <c r="AL233" s="157"/>
      <c r="AM233" s="157"/>
      <c r="AN233" s="159"/>
      <c r="AO233" s="159"/>
      <c r="AP233" s="160"/>
      <c r="AQ233" s="160"/>
      <c r="AR233" s="160"/>
      <c r="AS233" s="159"/>
      <c r="AT233" s="159"/>
      <c r="AU233" s="161"/>
      <c r="AV233" s="157"/>
      <c r="AW233" s="157"/>
      <c r="AX233" s="157"/>
      <c r="AY233" s="157"/>
      <c r="AZ233" s="157"/>
      <c r="BA233" s="157"/>
      <c r="BB233" s="157"/>
      <c r="BC233" s="151"/>
      <c r="BD233" s="157"/>
      <c r="BE233" s="157"/>
      <c r="BF233" s="157"/>
      <c r="BG233" s="157"/>
      <c r="BH233" s="157"/>
      <c r="BI233" s="157"/>
      <c r="BJ233" s="353"/>
      <c r="BK233" s="353"/>
      <c r="BL233" s="353"/>
      <c r="BM233" s="14"/>
      <c r="BN233" s="14"/>
      <c r="BO233" s="14"/>
    </row>
    <row r="234" spans="1:67" ht="20.100000000000001" customHeight="1">
      <c r="A234" s="157"/>
      <c r="B234" s="1"/>
      <c r="C234" s="157"/>
      <c r="D234" s="1"/>
      <c r="E234" s="150"/>
      <c r="F234" s="150"/>
      <c r="G234" s="151"/>
      <c r="H234" s="150"/>
      <c r="I234" s="150"/>
      <c r="J234" s="151"/>
      <c r="K234" s="151"/>
      <c r="L234" s="150"/>
      <c r="M234" s="151"/>
      <c r="N234" s="151"/>
      <c r="O234" s="151"/>
      <c r="P234" s="150"/>
      <c r="Q234" s="150"/>
      <c r="R234" s="158"/>
      <c r="S234" s="158"/>
      <c r="T234" s="158"/>
      <c r="U234" s="158"/>
      <c r="V234" s="1"/>
      <c r="W234" s="1"/>
      <c r="X234" s="157"/>
      <c r="Y234" s="157"/>
      <c r="Z234" s="157"/>
      <c r="AA234" s="157"/>
      <c r="AB234" s="157"/>
      <c r="AC234" s="151"/>
      <c r="AD234" s="151"/>
      <c r="AE234" s="151"/>
      <c r="AF234" s="157"/>
      <c r="AG234" s="157"/>
      <c r="AH234" s="157"/>
      <c r="AI234" s="157"/>
      <c r="AJ234" s="157"/>
      <c r="AK234" s="157"/>
      <c r="AL234" s="157"/>
      <c r="AM234" s="157"/>
      <c r="AN234" s="159"/>
      <c r="AO234" s="159"/>
      <c r="AP234" s="160"/>
      <c r="AQ234" s="160"/>
      <c r="AR234" s="160"/>
      <c r="AS234" s="159"/>
      <c r="AT234" s="159"/>
      <c r="AU234" s="161"/>
      <c r="AV234" s="157"/>
      <c r="AW234" s="157"/>
      <c r="AX234" s="157"/>
      <c r="AY234" s="157"/>
      <c r="AZ234" s="157"/>
      <c r="BA234" s="157"/>
      <c r="BB234" s="157"/>
      <c r="BC234" s="151"/>
      <c r="BD234" s="157"/>
      <c r="BE234" s="157"/>
      <c r="BF234" s="157"/>
      <c r="BG234" s="157"/>
      <c r="BH234" s="157"/>
      <c r="BI234" s="157"/>
      <c r="BJ234" s="353"/>
      <c r="BK234" s="353"/>
      <c r="BL234" s="353"/>
      <c r="BM234" s="14"/>
      <c r="BN234" s="14"/>
      <c r="BO234" s="14"/>
    </row>
    <row r="235" spans="1:67" ht="20.100000000000001" customHeight="1">
      <c r="A235" s="157"/>
      <c r="B235" s="1"/>
      <c r="C235" s="157"/>
      <c r="D235" s="1"/>
      <c r="E235" s="150"/>
      <c r="F235" s="150"/>
      <c r="G235" s="151"/>
      <c r="H235" s="150"/>
      <c r="I235" s="150"/>
      <c r="J235" s="151"/>
      <c r="K235" s="151"/>
      <c r="L235" s="150"/>
      <c r="M235" s="151"/>
      <c r="N235" s="151"/>
      <c r="O235" s="151"/>
      <c r="P235" s="150"/>
      <c r="Q235" s="150"/>
      <c r="R235" s="158"/>
      <c r="S235" s="158"/>
      <c r="T235" s="158"/>
      <c r="U235" s="158"/>
      <c r="V235" s="1"/>
      <c r="W235" s="1"/>
      <c r="X235" s="157"/>
      <c r="Y235" s="157"/>
      <c r="Z235" s="157"/>
      <c r="AA235" s="157"/>
      <c r="AB235" s="157"/>
      <c r="AC235" s="151"/>
      <c r="AD235" s="151"/>
      <c r="AE235" s="151"/>
      <c r="AF235" s="157"/>
      <c r="AG235" s="157"/>
      <c r="AH235" s="157"/>
      <c r="AI235" s="157"/>
      <c r="AJ235" s="157"/>
      <c r="AK235" s="157"/>
      <c r="AL235" s="157"/>
      <c r="AM235" s="157"/>
      <c r="AN235" s="159"/>
      <c r="AO235" s="159"/>
      <c r="AP235" s="160"/>
      <c r="AQ235" s="160"/>
      <c r="AR235" s="160"/>
      <c r="AS235" s="159"/>
      <c r="AT235" s="159"/>
      <c r="AU235" s="161"/>
      <c r="AV235" s="157"/>
      <c r="AW235" s="157"/>
      <c r="AX235" s="157"/>
      <c r="AY235" s="157"/>
      <c r="AZ235" s="157"/>
      <c r="BA235" s="157"/>
      <c r="BB235" s="157"/>
      <c r="BC235" s="151"/>
      <c r="BD235" s="157"/>
      <c r="BE235" s="157"/>
      <c r="BF235" s="157"/>
      <c r="BG235" s="157"/>
      <c r="BH235" s="157"/>
      <c r="BI235" s="157"/>
      <c r="BJ235" s="353"/>
      <c r="BK235" s="353"/>
      <c r="BL235" s="353"/>
      <c r="BM235" s="14"/>
      <c r="BN235" s="14"/>
      <c r="BO235" s="14"/>
    </row>
    <row r="236" spans="1:67" ht="20.100000000000001" customHeight="1">
      <c r="A236" s="157"/>
      <c r="B236" s="1"/>
      <c r="C236" s="157"/>
      <c r="D236" s="1"/>
      <c r="E236" s="150"/>
      <c r="F236" s="150"/>
      <c r="G236" s="151"/>
      <c r="H236" s="150"/>
      <c r="I236" s="150"/>
      <c r="J236" s="151"/>
      <c r="K236" s="151"/>
      <c r="L236" s="150"/>
      <c r="M236" s="151"/>
      <c r="N236" s="151"/>
      <c r="O236" s="151"/>
      <c r="P236" s="150"/>
      <c r="Q236" s="150"/>
      <c r="R236" s="158"/>
      <c r="S236" s="158"/>
      <c r="T236" s="158"/>
      <c r="U236" s="158"/>
      <c r="V236" s="1"/>
      <c r="W236" s="1"/>
      <c r="X236" s="157"/>
      <c r="Y236" s="157"/>
      <c r="Z236" s="157"/>
      <c r="AA236" s="157"/>
      <c r="AB236" s="157"/>
      <c r="AC236" s="151"/>
      <c r="AD236" s="151"/>
      <c r="AE236" s="151"/>
      <c r="AF236" s="157"/>
      <c r="AG236" s="157"/>
      <c r="AH236" s="157"/>
      <c r="AI236" s="157"/>
      <c r="AJ236" s="157"/>
      <c r="AK236" s="157"/>
      <c r="AL236" s="157"/>
      <c r="AM236" s="157"/>
      <c r="AN236" s="159"/>
      <c r="AO236" s="159"/>
      <c r="AP236" s="160"/>
      <c r="AQ236" s="160"/>
      <c r="AR236" s="160"/>
      <c r="AS236" s="159"/>
      <c r="AT236" s="159"/>
      <c r="AU236" s="161"/>
      <c r="AV236" s="157"/>
      <c r="AW236" s="157"/>
      <c r="AX236" s="157"/>
      <c r="AY236" s="157"/>
      <c r="AZ236" s="157"/>
      <c r="BA236" s="157"/>
      <c r="BB236" s="157"/>
      <c r="BC236" s="151"/>
      <c r="BD236" s="157"/>
      <c r="BE236" s="157"/>
      <c r="BF236" s="157"/>
      <c r="BG236" s="157"/>
      <c r="BH236" s="157"/>
      <c r="BI236" s="157"/>
      <c r="BJ236" s="353"/>
      <c r="BK236" s="353"/>
      <c r="BL236" s="353"/>
      <c r="BM236" s="14"/>
      <c r="BN236" s="14"/>
      <c r="BO236" s="14"/>
    </row>
    <row r="237" spans="1:67" ht="20.100000000000001" customHeight="1">
      <c r="A237" s="157"/>
      <c r="B237" s="1"/>
      <c r="C237" s="157"/>
      <c r="D237" s="1"/>
      <c r="E237" s="150"/>
      <c r="F237" s="150"/>
      <c r="G237" s="151"/>
      <c r="H237" s="150"/>
      <c r="I237" s="150"/>
      <c r="J237" s="151"/>
      <c r="K237" s="151"/>
      <c r="L237" s="150"/>
      <c r="M237" s="151"/>
      <c r="N237" s="151"/>
      <c r="O237" s="151"/>
      <c r="P237" s="150"/>
      <c r="Q237" s="150"/>
      <c r="R237" s="158"/>
      <c r="S237" s="158"/>
      <c r="T237" s="158"/>
      <c r="U237" s="158"/>
      <c r="V237" s="1"/>
      <c r="W237" s="1"/>
      <c r="X237" s="157"/>
      <c r="Y237" s="157"/>
      <c r="Z237" s="157"/>
      <c r="AA237" s="157"/>
      <c r="AB237" s="157"/>
      <c r="AC237" s="151"/>
      <c r="AD237" s="151"/>
      <c r="AE237" s="151"/>
      <c r="AF237" s="157"/>
      <c r="AG237" s="157"/>
      <c r="AH237" s="157"/>
      <c r="AI237" s="157"/>
      <c r="AJ237" s="157"/>
      <c r="AK237" s="157"/>
      <c r="AL237" s="157"/>
      <c r="AM237" s="157"/>
      <c r="AN237" s="159"/>
      <c r="AO237" s="159"/>
      <c r="AP237" s="160"/>
      <c r="AQ237" s="160"/>
      <c r="AR237" s="160"/>
      <c r="AS237" s="159"/>
      <c r="AT237" s="159"/>
      <c r="AU237" s="161"/>
      <c r="AV237" s="157"/>
      <c r="AW237" s="157"/>
      <c r="AX237" s="157"/>
      <c r="AY237" s="157"/>
      <c r="AZ237" s="157"/>
      <c r="BA237" s="157"/>
      <c r="BB237" s="157"/>
      <c r="BC237" s="151"/>
      <c r="BD237" s="157"/>
      <c r="BE237" s="157"/>
      <c r="BF237" s="157"/>
      <c r="BG237" s="157"/>
      <c r="BH237" s="157"/>
      <c r="BI237" s="157"/>
      <c r="BJ237" s="353"/>
      <c r="BK237" s="353"/>
      <c r="BL237" s="353"/>
      <c r="BM237" s="14"/>
      <c r="BN237" s="14"/>
      <c r="BO237" s="14"/>
    </row>
    <row r="238" spans="1:67" ht="20.100000000000001" customHeight="1">
      <c r="A238" s="157"/>
      <c r="B238" s="1"/>
      <c r="C238" s="157"/>
      <c r="D238" s="1"/>
      <c r="E238" s="150"/>
      <c r="F238" s="150"/>
      <c r="G238" s="151"/>
      <c r="H238" s="150"/>
      <c r="I238" s="150"/>
      <c r="J238" s="151"/>
      <c r="K238" s="151"/>
      <c r="L238" s="150"/>
      <c r="M238" s="151"/>
      <c r="N238" s="151"/>
      <c r="O238" s="151"/>
      <c r="P238" s="150"/>
      <c r="Q238" s="150"/>
      <c r="R238" s="158"/>
      <c r="S238" s="158"/>
      <c r="T238" s="158"/>
      <c r="U238" s="158"/>
      <c r="V238" s="1"/>
      <c r="W238" s="1"/>
      <c r="X238" s="157"/>
      <c r="Y238" s="157"/>
      <c r="Z238" s="157"/>
      <c r="AA238" s="157"/>
      <c r="AB238" s="157"/>
      <c r="AC238" s="151"/>
      <c r="AD238" s="151"/>
      <c r="AE238" s="151"/>
      <c r="AF238" s="157"/>
      <c r="AG238" s="157"/>
      <c r="AH238" s="157"/>
      <c r="AI238" s="157"/>
      <c r="AJ238" s="157"/>
      <c r="AK238" s="157"/>
      <c r="AL238" s="157"/>
      <c r="AM238" s="157"/>
      <c r="AN238" s="159"/>
      <c r="AO238" s="159"/>
      <c r="AP238" s="160"/>
      <c r="AQ238" s="160"/>
      <c r="AR238" s="160"/>
      <c r="AS238" s="159"/>
      <c r="AT238" s="159"/>
      <c r="AU238" s="161"/>
      <c r="AV238" s="157"/>
      <c r="AW238" s="157"/>
      <c r="AX238" s="157"/>
      <c r="AY238" s="157"/>
      <c r="AZ238" s="157"/>
      <c r="BA238" s="157"/>
      <c r="BB238" s="157"/>
      <c r="BC238" s="151"/>
      <c r="BD238" s="157"/>
      <c r="BE238" s="157"/>
      <c r="BF238" s="157"/>
      <c r="BG238" s="157"/>
      <c r="BH238" s="157"/>
      <c r="BI238" s="157"/>
      <c r="BJ238" s="353"/>
      <c r="BK238" s="353"/>
      <c r="BL238" s="353"/>
      <c r="BM238" s="14"/>
      <c r="BN238" s="14"/>
      <c r="BO238" s="14"/>
    </row>
    <row r="239" spans="1:67" ht="20.100000000000001" customHeight="1">
      <c r="A239" s="157"/>
      <c r="B239" s="1"/>
      <c r="C239" s="157"/>
      <c r="D239" s="1"/>
      <c r="E239" s="150"/>
      <c r="F239" s="150"/>
      <c r="G239" s="151"/>
      <c r="H239" s="150"/>
      <c r="I239" s="150"/>
      <c r="J239" s="151"/>
      <c r="K239" s="151"/>
      <c r="L239" s="150"/>
      <c r="M239" s="151"/>
      <c r="N239" s="151"/>
      <c r="O239" s="151"/>
      <c r="P239" s="150"/>
      <c r="Q239" s="150"/>
      <c r="R239" s="158"/>
      <c r="S239" s="158"/>
      <c r="T239" s="158"/>
      <c r="U239" s="158"/>
      <c r="V239" s="1"/>
      <c r="W239" s="1"/>
      <c r="X239" s="157"/>
      <c r="Y239" s="157"/>
      <c r="Z239" s="157"/>
      <c r="AA239" s="157"/>
      <c r="AB239" s="157"/>
      <c r="AC239" s="151"/>
      <c r="AD239" s="151"/>
      <c r="AE239" s="151"/>
      <c r="AF239" s="157"/>
      <c r="AG239" s="157"/>
      <c r="AH239" s="157"/>
      <c r="AI239" s="157"/>
      <c r="AJ239" s="157"/>
      <c r="AK239" s="157"/>
      <c r="AL239" s="157"/>
      <c r="AM239" s="157"/>
      <c r="AN239" s="159"/>
      <c r="AO239" s="159"/>
      <c r="AP239" s="160"/>
      <c r="AQ239" s="160"/>
      <c r="AR239" s="160"/>
      <c r="AS239" s="159"/>
      <c r="AT239" s="159"/>
      <c r="AU239" s="161"/>
      <c r="AV239" s="157"/>
      <c r="AW239" s="157"/>
      <c r="AX239" s="157"/>
      <c r="AY239" s="157"/>
      <c r="AZ239" s="157"/>
      <c r="BA239" s="157"/>
      <c r="BB239" s="157"/>
      <c r="BC239" s="151"/>
      <c r="BD239" s="157"/>
      <c r="BE239" s="157"/>
      <c r="BF239" s="157"/>
      <c r="BG239" s="157"/>
      <c r="BH239" s="157"/>
      <c r="BI239" s="157"/>
      <c r="BJ239" s="353"/>
      <c r="BK239" s="353"/>
      <c r="BL239" s="353"/>
      <c r="BM239" s="14"/>
      <c r="BN239" s="14"/>
      <c r="BO239" s="14"/>
    </row>
    <row r="240" spans="1:67" ht="20.100000000000001" customHeight="1">
      <c r="A240" s="157"/>
      <c r="B240" s="1"/>
      <c r="C240" s="157"/>
      <c r="D240" s="1"/>
      <c r="E240" s="150"/>
      <c r="F240" s="150"/>
      <c r="G240" s="151"/>
      <c r="H240" s="150"/>
      <c r="I240" s="150"/>
      <c r="J240" s="151"/>
      <c r="K240" s="151"/>
      <c r="L240" s="150"/>
      <c r="M240" s="151"/>
      <c r="N240" s="151"/>
      <c r="O240" s="151"/>
      <c r="P240" s="150"/>
      <c r="Q240" s="150"/>
      <c r="R240" s="158"/>
      <c r="S240" s="158"/>
      <c r="T240" s="158"/>
      <c r="U240" s="158"/>
      <c r="V240" s="1"/>
      <c r="W240" s="1"/>
      <c r="X240" s="157"/>
      <c r="Y240" s="157"/>
      <c r="Z240" s="157"/>
      <c r="AA240" s="157"/>
      <c r="AB240" s="157"/>
      <c r="AC240" s="151"/>
      <c r="AD240" s="151"/>
      <c r="AE240" s="151"/>
      <c r="AF240" s="157"/>
      <c r="AG240" s="157"/>
      <c r="AH240" s="157"/>
      <c r="AI240" s="157"/>
      <c r="AJ240" s="157"/>
      <c r="AK240" s="157"/>
      <c r="AL240" s="157"/>
      <c r="AM240" s="157"/>
      <c r="AN240" s="159"/>
      <c r="AO240" s="159"/>
      <c r="AP240" s="160"/>
      <c r="AQ240" s="160"/>
      <c r="AR240" s="160"/>
      <c r="AS240" s="159"/>
      <c r="AT240" s="159"/>
      <c r="AU240" s="161"/>
      <c r="AV240" s="157"/>
      <c r="AW240" s="157"/>
      <c r="AX240" s="157"/>
      <c r="AY240" s="157"/>
      <c r="AZ240" s="157"/>
      <c r="BA240" s="157"/>
      <c r="BB240" s="157"/>
      <c r="BC240" s="151"/>
      <c r="BD240" s="157"/>
      <c r="BE240" s="157"/>
      <c r="BF240" s="157"/>
      <c r="BG240" s="157"/>
      <c r="BH240" s="157"/>
      <c r="BI240" s="157"/>
      <c r="BJ240" s="353"/>
      <c r="BK240" s="353"/>
      <c r="BL240" s="353"/>
      <c r="BM240" s="14"/>
      <c r="BN240" s="14"/>
      <c r="BO240" s="14"/>
    </row>
    <row r="241" spans="1:67" ht="20.100000000000001" customHeight="1">
      <c r="A241" s="157"/>
      <c r="B241" s="1"/>
      <c r="C241" s="157"/>
      <c r="D241" s="1"/>
      <c r="E241" s="150"/>
      <c r="F241" s="150"/>
      <c r="G241" s="151"/>
      <c r="H241" s="150"/>
      <c r="I241" s="150"/>
      <c r="J241" s="151"/>
      <c r="K241" s="151"/>
      <c r="L241" s="150"/>
      <c r="M241" s="151"/>
      <c r="N241" s="151"/>
      <c r="O241" s="151"/>
      <c r="P241" s="150"/>
      <c r="Q241" s="150"/>
      <c r="R241" s="158"/>
      <c r="S241" s="158"/>
      <c r="T241" s="158"/>
      <c r="U241" s="158"/>
      <c r="V241" s="1"/>
      <c r="W241" s="1"/>
      <c r="X241" s="157"/>
      <c r="Y241" s="157"/>
      <c r="Z241" s="157"/>
      <c r="AA241" s="157"/>
      <c r="AB241" s="157"/>
      <c r="AC241" s="151"/>
      <c r="AD241" s="151"/>
      <c r="AE241" s="151"/>
      <c r="AF241" s="157"/>
      <c r="AG241" s="157"/>
      <c r="AH241" s="157"/>
      <c r="AI241" s="157"/>
      <c r="AJ241" s="157"/>
      <c r="AK241" s="157"/>
      <c r="AL241" s="157"/>
      <c r="AM241" s="157"/>
      <c r="AN241" s="159"/>
      <c r="AO241" s="159"/>
      <c r="AP241" s="160"/>
      <c r="AQ241" s="160"/>
      <c r="AR241" s="160"/>
      <c r="AS241" s="159"/>
      <c r="AT241" s="159"/>
      <c r="AU241" s="161"/>
      <c r="AV241" s="157"/>
      <c r="AW241" s="157"/>
      <c r="AX241" s="157"/>
      <c r="AY241" s="157"/>
      <c r="AZ241" s="157"/>
      <c r="BA241" s="157"/>
      <c r="BB241" s="157"/>
      <c r="BC241" s="151"/>
      <c r="BD241" s="157"/>
      <c r="BE241" s="157"/>
      <c r="BF241" s="157"/>
      <c r="BG241" s="157"/>
      <c r="BH241" s="157"/>
      <c r="BI241" s="157"/>
      <c r="BJ241" s="353"/>
      <c r="BK241" s="353"/>
      <c r="BL241" s="353"/>
      <c r="BM241" s="14"/>
      <c r="BN241" s="14"/>
      <c r="BO241" s="14"/>
    </row>
    <row r="242" spans="1:67" ht="20.100000000000001" customHeight="1">
      <c r="A242" s="157"/>
      <c r="B242" s="1"/>
      <c r="C242" s="157"/>
      <c r="D242" s="1"/>
      <c r="E242" s="150"/>
      <c r="F242" s="150"/>
      <c r="G242" s="151"/>
      <c r="H242" s="150"/>
      <c r="I242" s="150"/>
      <c r="J242" s="151"/>
      <c r="K242" s="151"/>
      <c r="L242" s="150"/>
      <c r="M242" s="151"/>
      <c r="N242" s="151"/>
      <c r="O242" s="151"/>
      <c r="P242" s="150"/>
      <c r="Q242" s="150"/>
      <c r="R242" s="158"/>
      <c r="S242" s="158"/>
      <c r="T242" s="158"/>
      <c r="U242" s="158"/>
      <c r="V242" s="1"/>
      <c r="W242" s="1"/>
      <c r="X242" s="157"/>
      <c r="Y242" s="157"/>
      <c r="Z242" s="157"/>
      <c r="AA242" s="157"/>
      <c r="AB242" s="157"/>
      <c r="AC242" s="151"/>
      <c r="AD242" s="151"/>
      <c r="AE242" s="151"/>
      <c r="AF242" s="157"/>
      <c r="AG242" s="157"/>
      <c r="AH242" s="157"/>
      <c r="AI242" s="157"/>
      <c r="AJ242" s="157"/>
      <c r="AK242" s="157"/>
      <c r="AL242" s="157"/>
      <c r="AM242" s="157"/>
      <c r="AN242" s="159"/>
      <c r="AO242" s="159"/>
      <c r="AP242" s="160"/>
      <c r="AQ242" s="160"/>
      <c r="AR242" s="160"/>
      <c r="AS242" s="159"/>
      <c r="AT242" s="159"/>
      <c r="AU242" s="161"/>
      <c r="AV242" s="157"/>
      <c r="AW242" s="157"/>
      <c r="AX242" s="157"/>
      <c r="AY242" s="157"/>
      <c r="AZ242" s="157"/>
      <c r="BA242" s="157"/>
      <c r="BB242" s="157"/>
      <c r="BC242" s="151"/>
      <c r="BD242" s="157"/>
      <c r="BE242" s="157"/>
      <c r="BF242" s="157"/>
      <c r="BG242" s="157"/>
      <c r="BH242" s="157"/>
      <c r="BI242" s="157"/>
      <c r="BJ242" s="353"/>
      <c r="BK242" s="353"/>
      <c r="BL242" s="353"/>
      <c r="BM242" s="14"/>
      <c r="BN242" s="14"/>
      <c r="BO242" s="14"/>
    </row>
    <row r="243" spans="1:67" ht="20.100000000000001" customHeight="1">
      <c r="A243" s="157"/>
      <c r="B243" s="1"/>
      <c r="C243" s="157"/>
      <c r="D243" s="1"/>
      <c r="E243" s="150"/>
      <c r="F243" s="150"/>
      <c r="G243" s="151"/>
      <c r="H243" s="150"/>
      <c r="I243" s="150"/>
      <c r="J243" s="151"/>
      <c r="K243" s="151"/>
      <c r="L243" s="150"/>
      <c r="M243" s="151"/>
      <c r="N243" s="151"/>
      <c r="O243" s="151"/>
      <c r="P243" s="150"/>
      <c r="Q243" s="150"/>
      <c r="R243" s="158"/>
      <c r="S243" s="158"/>
      <c r="T243" s="158"/>
      <c r="U243" s="158"/>
      <c r="V243" s="1"/>
      <c r="W243" s="1"/>
      <c r="X243" s="157"/>
      <c r="Y243" s="157"/>
      <c r="Z243" s="157"/>
      <c r="AA243" s="157"/>
      <c r="AB243" s="157"/>
      <c r="AC243" s="151"/>
      <c r="AD243" s="151"/>
      <c r="AE243" s="151"/>
      <c r="AF243" s="157"/>
      <c r="AG243" s="157"/>
      <c r="AH243" s="157"/>
      <c r="AI243" s="157"/>
      <c r="AJ243" s="157"/>
      <c r="AK243" s="157"/>
      <c r="AL243" s="157"/>
      <c r="AM243" s="157"/>
      <c r="AN243" s="159"/>
      <c r="AO243" s="159"/>
      <c r="AP243" s="160"/>
      <c r="AQ243" s="160"/>
      <c r="AR243" s="160"/>
      <c r="AS243" s="159"/>
      <c r="AT243" s="159"/>
      <c r="AU243" s="161"/>
      <c r="AV243" s="157"/>
      <c r="AW243" s="157"/>
      <c r="AX243" s="157"/>
      <c r="AY243" s="157"/>
      <c r="AZ243" s="157"/>
      <c r="BA243" s="157"/>
      <c r="BB243" s="157"/>
      <c r="BC243" s="151"/>
      <c r="BD243" s="157"/>
      <c r="BE243" s="157"/>
      <c r="BF243" s="157"/>
      <c r="BG243" s="157"/>
      <c r="BH243" s="157"/>
      <c r="BI243" s="157"/>
      <c r="BJ243" s="353"/>
      <c r="BK243" s="353"/>
      <c r="BL243" s="353"/>
      <c r="BM243" s="14"/>
      <c r="BN243" s="14"/>
      <c r="BO243" s="14"/>
    </row>
    <row r="244" spans="1:67" ht="20.100000000000001" customHeight="1">
      <c r="A244" s="157"/>
      <c r="B244" s="1"/>
      <c r="C244" s="157"/>
      <c r="D244" s="1"/>
      <c r="E244" s="150"/>
      <c r="F244" s="150"/>
      <c r="G244" s="151"/>
      <c r="H244" s="150"/>
      <c r="I244" s="150"/>
      <c r="J244" s="151"/>
      <c r="K244" s="151"/>
      <c r="L244" s="150"/>
      <c r="M244" s="151"/>
      <c r="N244" s="151"/>
      <c r="O244" s="151"/>
      <c r="P244" s="150"/>
      <c r="Q244" s="150"/>
      <c r="R244" s="158"/>
      <c r="S244" s="158"/>
      <c r="T244" s="158"/>
      <c r="U244" s="158"/>
      <c r="V244" s="1"/>
      <c r="W244" s="1"/>
      <c r="X244" s="157"/>
      <c r="Y244" s="157"/>
      <c r="Z244" s="157"/>
      <c r="AA244" s="157"/>
      <c r="AB244" s="157"/>
      <c r="AC244" s="151"/>
      <c r="AD244" s="151"/>
      <c r="AE244" s="151"/>
      <c r="AF244" s="157"/>
      <c r="AG244" s="157"/>
      <c r="AH244" s="157"/>
      <c r="AI244" s="157"/>
      <c r="AJ244" s="157"/>
      <c r="AK244" s="157"/>
      <c r="AL244" s="157"/>
      <c r="AM244" s="157"/>
      <c r="AN244" s="159"/>
      <c r="AO244" s="159"/>
      <c r="AP244" s="160"/>
      <c r="AQ244" s="160"/>
      <c r="AR244" s="160"/>
      <c r="AS244" s="159"/>
      <c r="AT244" s="159"/>
      <c r="AU244" s="161"/>
      <c r="AV244" s="157"/>
      <c r="AW244" s="157"/>
      <c r="AX244" s="157"/>
      <c r="AY244" s="157"/>
      <c r="AZ244" s="157"/>
      <c r="BA244" s="157"/>
      <c r="BB244" s="157"/>
      <c r="BC244" s="151"/>
      <c r="BD244" s="157"/>
      <c r="BE244" s="157"/>
      <c r="BF244" s="157"/>
      <c r="BG244" s="157"/>
      <c r="BH244" s="157"/>
      <c r="BI244" s="157"/>
      <c r="BJ244" s="353"/>
      <c r="BK244" s="353"/>
      <c r="BL244" s="353"/>
      <c r="BM244" s="14"/>
      <c r="BN244" s="14"/>
      <c r="BO244" s="14"/>
    </row>
    <row r="245" spans="1:67" ht="20.100000000000001" customHeight="1">
      <c r="A245" s="157"/>
      <c r="B245" s="1"/>
      <c r="C245" s="157"/>
      <c r="D245" s="1"/>
      <c r="E245" s="150"/>
      <c r="F245" s="150"/>
      <c r="G245" s="151"/>
      <c r="H245" s="150"/>
      <c r="I245" s="150"/>
      <c r="J245" s="151"/>
      <c r="K245" s="151"/>
      <c r="L245" s="150"/>
      <c r="M245" s="151"/>
      <c r="N245" s="151"/>
      <c r="O245" s="151"/>
      <c r="P245" s="150"/>
      <c r="Q245" s="150"/>
      <c r="R245" s="158"/>
      <c r="S245" s="158"/>
      <c r="T245" s="158"/>
      <c r="U245" s="158"/>
      <c r="V245" s="1"/>
      <c r="W245" s="1"/>
      <c r="X245" s="157"/>
      <c r="Y245" s="157"/>
      <c r="Z245" s="157"/>
      <c r="AA245" s="157"/>
      <c r="AB245" s="157"/>
      <c r="AC245" s="151"/>
      <c r="AD245" s="151"/>
      <c r="AE245" s="151"/>
      <c r="AF245" s="157"/>
      <c r="AG245" s="157"/>
      <c r="AH245" s="157"/>
      <c r="AI245" s="157"/>
      <c r="AJ245" s="157"/>
      <c r="AK245" s="157"/>
      <c r="AL245" s="157"/>
      <c r="AM245" s="157"/>
      <c r="AN245" s="159"/>
      <c r="AO245" s="159"/>
      <c r="AP245" s="160"/>
      <c r="AQ245" s="160"/>
      <c r="AR245" s="160"/>
      <c r="AS245" s="159"/>
      <c r="AT245" s="159"/>
      <c r="AU245" s="161"/>
      <c r="AV245" s="157"/>
      <c r="AW245" s="157"/>
      <c r="AX245" s="157"/>
      <c r="AY245" s="157"/>
      <c r="AZ245" s="157"/>
      <c r="BA245" s="157"/>
      <c r="BB245" s="157"/>
      <c r="BC245" s="151"/>
      <c r="BD245" s="157"/>
      <c r="BE245" s="157"/>
      <c r="BF245" s="157"/>
      <c r="BG245" s="157"/>
      <c r="BH245" s="157"/>
      <c r="BI245" s="157"/>
      <c r="BJ245" s="353"/>
      <c r="BK245" s="353"/>
      <c r="BL245" s="353"/>
      <c r="BM245" s="14"/>
      <c r="BN245" s="14"/>
      <c r="BO245" s="14"/>
    </row>
    <row r="246" spans="1:67" ht="20.100000000000001" customHeight="1">
      <c r="A246" s="157"/>
      <c r="B246" s="1"/>
      <c r="C246" s="157"/>
      <c r="D246" s="1"/>
      <c r="E246" s="150"/>
      <c r="F246" s="150"/>
      <c r="G246" s="151"/>
      <c r="H246" s="150"/>
      <c r="I246" s="150"/>
      <c r="J246" s="151"/>
      <c r="K246" s="151"/>
      <c r="L246" s="150"/>
      <c r="M246" s="151"/>
      <c r="N246" s="151"/>
      <c r="O246" s="151"/>
      <c r="P246" s="150"/>
      <c r="Q246" s="150"/>
      <c r="R246" s="158"/>
      <c r="S246" s="158"/>
      <c r="T246" s="158"/>
      <c r="U246" s="158"/>
      <c r="V246" s="1"/>
      <c r="W246" s="1"/>
      <c r="X246" s="157"/>
      <c r="Y246" s="157"/>
      <c r="Z246" s="157"/>
      <c r="AA246" s="157"/>
      <c r="AB246" s="157"/>
      <c r="AC246" s="151"/>
      <c r="AD246" s="151"/>
      <c r="AE246" s="151"/>
      <c r="AF246" s="157"/>
      <c r="AG246" s="157"/>
      <c r="AH246" s="157"/>
      <c r="AI246" s="157"/>
      <c r="AJ246" s="157"/>
      <c r="AK246" s="157"/>
      <c r="AL246" s="157"/>
      <c r="AM246" s="157"/>
      <c r="AN246" s="159"/>
      <c r="AO246" s="159"/>
      <c r="AP246" s="160"/>
      <c r="AQ246" s="160"/>
      <c r="AR246" s="160"/>
      <c r="AS246" s="159"/>
      <c r="AT246" s="159"/>
      <c r="AU246" s="161"/>
      <c r="AV246" s="157"/>
      <c r="AW246" s="157"/>
      <c r="AX246" s="157"/>
      <c r="AY246" s="157"/>
      <c r="AZ246" s="157"/>
      <c r="BA246" s="157"/>
      <c r="BB246" s="157"/>
      <c r="BC246" s="151"/>
      <c r="BD246" s="157"/>
      <c r="BE246" s="157"/>
      <c r="BF246" s="157"/>
      <c r="BG246" s="157"/>
      <c r="BH246" s="157"/>
      <c r="BI246" s="157"/>
      <c r="BJ246" s="353"/>
      <c r="BK246" s="353"/>
      <c r="BL246" s="353"/>
      <c r="BM246" s="14"/>
      <c r="BN246" s="14"/>
      <c r="BO246" s="14"/>
    </row>
    <row r="247" spans="1:67" ht="20.100000000000001" customHeight="1">
      <c r="A247" s="157"/>
      <c r="B247" s="1"/>
      <c r="C247" s="157"/>
      <c r="D247" s="1"/>
      <c r="E247" s="150"/>
      <c r="F247" s="150"/>
      <c r="G247" s="151"/>
      <c r="H247" s="150"/>
      <c r="I247" s="150"/>
      <c r="J247" s="151"/>
      <c r="K247" s="151"/>
      <c r="L247" s="150"/>
      <c r="M247" s="151"/>
      <c r="N247" s="151"/>
      <c r="O247" s="151"/>
      <c r="P247" s="150"/>
      <c r="Q247" s="150"/>
      <c r="R247" s="158"/>
      <c r="S247" s="158"/>
      <c r="T247" s="158"/>
      <c r="U247" s="158"/>
      <c r="V247" s="1"/>
      <c r="W247" s="1"/>
      <c r="X247" s="157"/>
      <c r="Y247" s="157"/>
      <c r="Z247" s="157"/>
      <c r="AA247" s="157"/>
      <c r="AB247" s="157"/>
      <c r="AC247" s="151"/>
      <c r="AD247" s="151"/>
      <c r="AE247" s="151"/>
      <c r="AF247" s="157"/>
      <c r="AG247" s="157"/>
      <c r="AH247" s="157"/>
      <c r="AI247" s="157"/>
      <c r="AJ247" s="157"/>
      <c r="AK247" s="157"/>
      <c r="AL247" s="157"/>
      <c r="AM247" s="157"/>
      <c r="AN247" s="159"/>
      <c r="AO247" s="159"/>
      <c r="AP247" s="160"/>
      <c r="AQ247" s="160"/>
      <c r="AR247" s="160"/>
      <c r="AS247" s="159"/>
      <c r="AT247" s="159"/>
      <c r="AU247" s="161"/>
      <c r="AV247" s="157"/>
      <c r="AW247" s="157"/>
      <c r="AX247" s="157"/>
      <c r="AY247" s="157"/>
      <c r="AZ247" s="157"/>
      <c r="BA247" s="157"/>
      <c r="BB247" s="157"/>
      <c r="BC247" s="151"/>
      <c r="BD247" s="157"/>
      <c r="BE247" s="157"/>
      <c r="BF247" s="157"/>
      <c r="BG247" s="157"/>
      <c r="BH247" s="157"/>
      <c r="BI247" s="157"/>
      <c r="BJ247" s="353"/>
      <c r="BK247" s="353"/>
      <c r="BL247" s="353"/>
      <c r="BM247" s="14"/>
      <c r="BN247" s="14"/>
      <c r="BO247" s="14"/>
    </row>
    <row r="248" spans="1:67" ht="20.100000000000001" customHeight="1">
      <c r="A248" s="157"/>
      <c r="B248" s="1"/>
      <c r="C248" s="157"/>
      <c r="D248" s="1"/>
      <c r="E248" s="150"/>
      <c r="F248" s="150"/>
      <c r="G248" s="151"/>
      <c r="H248" s="150"/>
      <c r="I248" s="150"/>
      <c r="J248" s="151"/>
      <c r="K248" s="151"/>
      <c r="L248" s="150"/>
      <c r="M248" s="151"/>
      <c r="N248" s="151"/>
      <c r="O248" s="151"/>
      <c r="P248" s="150"/>
      <c r="Q248" s="150"/>
      <c r="R248" s="158"/>
      <c r="S248" s="158"/>
      <c r="T248" s="158"/>
      <c r="U248" s="158"/>
      <c r="V248" s="1"/>
      <c r="W248" s="1"/>
      <c r="X248" s="157"/>
      <c r="Y248" s="157"/>
      <c r="Z248" s="157"/>
      <c r="AA248" s="157"/>
      <c r="AB248" s="157"/>
      <c r="AC248" s="151"/>
      <c r="AD248" s="151"/>
      <c r="AE248" s="151"/>
      <c r="AF248" s="157"/>
      <c r="AG248" s="157"/>
      <c r="AH248" s="157"/>
      <c r="AI248" s="157"/>
      <c r="AJ248" s="157"/>
      <c r="AK248" s="157"/>
      <c r="AL248" s="157"/>
      <c r="AM248" s="157"/>
      <c r="AN248" s="159"/>
      <c r="AO248" s="159"/>
      <c r="AP248" s="160"/>
      <c r="AQ248" s="160"/>
      <c r="AR248" s="160"/>
      <c r="AS248" s="159"/>
      <c r="AT248" s="159"/>
      <c r="AU248" s="161"/>
      <c r="AV248" s="157"/>
      <c r="AW248" s="157"/>
      <c r="AX248" s="157"/>
      <c r="AY248" s="157"/>
      <c r="AZ248" s="157"/>
      <c r="BA248" s="157"/>
      <c r="BB248" s="157"/>
      <c r="BC248" s="151"/>
      <c r="BD248" s="157"/>
      <c r="BE248" s="157"/>
      <c r="BF248" s="157"/>
      <c r="BG248" s="157"/>
      <c r="BH248" s="157"/>
      <c r="BI248" s="157"/>
      <c r="BJ248" s="353"/>
      <c r="BK248" s="353"/>
      <c r="BL248" s="353"/>
      <c r="BM248" s="14"/>
      <c r="BN248" s="14"/>
      <c r="BO248" s="14"/>
    </row>
    <row r="249" spans="1:67" ht="20.100000000000001" customHeight="1">
      <c r="A249" s="157"/>
      <c r="B249" s="1"/>
      <c r="C249" s="157"/>
      <c r="D249" s="1"/>
      <c r="E249" s="150"/>
      <c r="F249" s="150"/>
      <c r="G249" s="151"/>
      <c r="H249" s="150"/>
      <c r="I249" s="150"/>
      <c r="J249" s="151"/>
      <c r="K249" s="151"/>
      <c r="L249" s="150"/>
      <c r="M249" s="151"/>
      <c r="N249" s="151"/>
      <c r="O249" s="151"/>
      <c r="P249" s="150"/>
      <c r="Q249" s="150"/>
      <c r="R249" s="158"/>
      <c r="S249" s="158"/>
      <c r="T249" s="158"/>
      <c r="U249" s="158"/>
      <c r="V249" s="1"/>
      <c r="W249" s="1"/>
      <c r="X249" s="157"/>
      <c r="Y249" s="157"/>
      <c r="Z249" s="157"/>
      <c r="AA249" s="157"/>
      <c r="AB249" s="157"/>
      <c r="AC249" s="151"/>
      <c r="AD249" s="151"/>
      <c r="AE249" s="151"/>
      <c r="AF249" s="157"/>
      <c r="AG249" s="157"/>
      <c r="AH249" s="157"/>
      <c r="AI249" s="157"/>
      <c r="AJ249" s="157"/>
      <c r="AK249" s="157"/>
      <c r="AL249" s="157"/>
      <c r="AM249" s="157"/>
      <c r="AN249" s="159"/>
      <c r="AO249" s="159"/>
      <c r="AP249" s="160"/>
      <c r="AQ249" s="160"/>
      <c r="AR249" s="160"/>
      <c r="AS249" s="159"/>
      <c r="AT249" s="159"/>
      <c r="AU249" s="161"/>
      <c r="AV249" s="157"/>
      <c r="AW249" s="157"/>
      <c r="AX249" s="157"/>
      <c r="AY249" s="157"/>
      <c r="AZ249" s="157"/>
      <c r="BA249" s="157"/>
      <c r="BB249" s="157"/>
      <c r="BC249" s="151"/>
      <c r="BD249" s="157"/>
      <c r="BE249" s="157"/>
      <c r="BF249" s="157"/>
      <c r="BG249" s="157"/>
      <c r="BH249" s="157"/>
      <c r="BI249" s="157"/>
      <c r="BJ249" s="353"/>
      <c r="BK249" s="353"/>
      <c r="BL249" s="353"/>
      <c r="BM249" s="14"/>
      <c r="BN249" s="14"/>
      <c r="BO249" s="14"/>
    </row>
    <row r="250" spans="1:67" ht="20.100000000000001" customHeight="1">
      <c r="A250" s="157"/>
      <c r="B250" s="1"/>
      <c r="C250" s="157"/>
      <c r="D250" s="1"/>
      <c r="E250" s="150"/>
      <c r="F250" s="150"/>
      <c r="G250" s="151"/>
      <c r="H250" s="150"/>
      <c r="I250" s="150"/>
      <c r="J250" s="151"/>
      <c r="K250" s="151"/>
      <c r="L250" s="150"/>
      <c r="M250" s="151"/>
      <c r="N250" s="151"/>
      <c r="O250" s="151"/>
      <c r="P250" s="150"/>
      <c r="Q250" s="150"/>
      <c r="R250" s="158"/>
      <c r="S250" s="158"/>
      <c r="T250" s="158"/>
      <c r="U250" s="158"/>
      <c r="V250" s="1"/>
      <c r="W250" s="1"/>
      <c r="X250" s="157"/>
      <c r="Y250" s="157"/>
      <c r="Z250" s="157"/>
      <c r="AA250" s="157"/>
      <c r="AB250" s="157"/>
      <c r="AC250" s="151"/>
      <c r="AD250" s="151"/>
      <c r="AE250" s="151"/>
      <c r="AF250" s="157"/>
      <c r="AG250" s="157"/>
      <c r="AH250" s="157"/>
      <c r="AI250" s="157"/>
      <c r="AJ250" s="157"/>
      <c r="AK250" s="157"/>
      <c r="AL250" s="157"/>
      <c r="AM250" s="157"/>
      <c r="AN250" s="159"/>
      <c r="AO250" s="159"/>
      <c r="AP250" s="160"/>
      <c r="AQ250" s="160"/>
      <c r="AR250" s="160"/>
      <c r="AS250" s="159"/>
      <c r="AT250" s="159"/>
      <c r="AU250" s="161"/>
      <c r="AV250" s="157"/>
      <c r="AW250" s="157"/>
      <c r="AX250" s="157"/>
      <c r="AY250" s="157"/>
      <c r="AZ250" s="157"/>
      <c r="BA250" s="157"/>
      <c r="BB250" s="157"/>
      <c r="BC250" s="151"/>
      <c r="BD250" s="157"/>
      <c r="BE250" s="157"/>
      <c r="BF250" s="157"/>
      <c r="BG250" s="157"/>
      <c r="BH250" s="157"/>
      <c r="BI250" s="157"/>
      <c r="BJ250" s="353"/>
      <c r="BK250" s="353"/>
      <c r="BL250" s="353"/>
      <c r="BM250" s="14"/>
      <c r="BN250" s="14"/>
      <c r="BO250" s="14"/>
    </row>
    <row r="251" spans="1:67" ht="20.100000000000001" customHeight="1">
      <c r="A251" s="157"/>
      <c r="B251" s="1"/>
      <c r="C251" s="157"/>
      <c r="D251" s="1"/>
      <c r="E251" s="150"/>
      <c r="F251" s="150"/>
      <c r="G251" s="151"/>
      <c r="H251" s="150"/>
      <c r="I251" s="150"/>
      <c r="J251" s="151"/>
      <c r="K251" s="151"/>
      <c r="L251" s="150"/>
      <c r="M251" s="151"/>
      <c r="N251" s="151"/>
      <c r="O251" s="151"/>
      <c r="P251" s="150"/>
      <c r="Q251" s="150"/>
      <c r="R251" s="158"/>
      <c r="S251" s="158"/>
      <c r="T251" s="158"/>
      <c r="U251" s="158"/>
      <c r="V251" s="1"/>
      <c r="W251" s="1"/>
      <c r="X251" s="157"/>
      <c r="Y251" s="157"/>
      <c r="Z251" s="157"/>
      <c r="AA251" s="157"/>
      <c r="AB251" s="157"/>
      <c r="AC251" s="151"/>
      <c r="AD251" s="151"/>
      <c r="AE251" s="151"/>
      <c r="AF251" s="157"/>
      <c r="AG251" s="157"/>
      <c r="AH251" s="157"/>
      <c r="AI251" s="157"/>
      <c r="AJ251" s="157"/>
      <c r="AK251" s="157"/>
      <c r="AL251" s="157"/>
      <c r="AM251" s="157"/>
      <c r="AN251" s="159"/>
      <c r="AO251" s="159"/>
      <c r="AP251" s="160"/>
      <c r="AQ251" s="160"/>
      <c r="AR251" s="160"/>
      <c r="AS251" s="159"/>
      <c r="AT251" s="159"/>
      <c r="AU251" s="161"/>
      <c r="AV251" s="157"/>
      <c r="AW251" s="157"/>
      <c r="AX251" s="157"/>
      <c r="AY251" s="157"/>
      <c r="AZ251" s="157"/>
      <c r="BA251" s="157"/>
      <c r="BB251" s="157"/>
      <c r="BC251" s="151"/>
      <c r="BD251" s="157"/>
      <c r="BE251" s="157"/>
      <c r="BF251" s="157"/>
      <c r="BG251" s="157"/>
      <c r="BH251" s="157"/>
      <c r="BI251" s="157"/>
      <c r="BJ251" s="353"/>
      <c r="BK251" s="353"/>
      <c r="BL251" s="353"/>
      <c r="BM251" s="14"/>
      <c r="BN251" s="14"/>
      <c r="BO251" s="14"/>
    </row>
    <row r="252" spans="1:67" ht="20.100000000000001" customHeight="1">
      <c r="A252" s="157"/>
      <c r="B252" s="1"/>
      <c r="C252" s="157"/>
      <c r="D252" s="1"/>
      <c r="E252" s="150"/>
      <c r="F252" s="150"/>
      <c r="G252" s="151"/>
      <c r="H252" s="150"/>
      <c r="I252" s="150"/>
      <c r="J252" s="151"/>
      <c r="K252" s="151"/>
      <c r="L252" s="150"/>
      <c r="M252" s="151"/>
      <c r="N252" s="151"/>
      <c r="O252" s="151"/>
      <c r="P252" s="150"/>
      <c r="Q252" s="150"/>
      <c r="R252" s="158"/>
      <c r="S252" s="158"/>
      <c r="T252" s="158"/>
      <c r="U252" s="158"/>
      <c r="V252" s="1"/>
      <c r="W252" s="1"/>
      <c r="X252" s="157"/>
      <c r="Y252" s="157"/>
      <c r="Z252" s="157"/>
      <c r="AA252" s="157"/>
      <c r="AB252" s="157"/>
      <c r="AC252" s="151"/>
      <c r="AD252" s="151"/>
      <c r="AE252" s="151"/>
      <c r="AF252" s="157"/>
      <c r="AG252" s="157"/>
      <c r="AH252" s="157"/>
      <c r="AI252" s="157"/>
      <c r="AJ252" s="157"/>
      <c r="AK252" s="157"/>
      <c r="AL252" s="157"/>
      <c r="AM252" s="157"/>
      <c r="AN252" s="159"/>
      <c r="AO252" s="159"/>
      <c r="AP252" s="160"/>
      <c r="AQ252" s="160"/>
      <c r="AR252" s="160"/>
      <c r="AS252" s="159"/>
      <c r="AT252" s="159"/>
      <c r="AU252" s="161"/>
      <c r="AV252" s="157"/>
      <c r="AW252" s="157"/>
      <c r="AX252" s="157"/>
      <c r="AY252" s="157"/>
      <c r="AZ252" s="157"/>
      <c r="BA252" s="157"/>
      <c r="BB252" s="157"/>
      <c r="BC252" s="151"/>
      <c r="BD252" s="157"/>
      <c r="BE252" s="157"/>
      <c r="BF252" s="157"/>
      <c r="BG252" s="157"/>
      <c r="BH252" s="157"/>
      <c r="BI252" s="157"/>
      <c r="BJ252" s="353"/>
      <c r="BK252" s="353"/>
      <c r="BL252" s="353"/>
      <c r="BM252" s="14"/>
      <c r="BN252" s="14"/>
      <c r="BO252" s="14"/>
    </row>
    <row r="253" spans="1:67" ht="20.100000000000001" customHeight="1">
      <c r="A253" s="157"/>
      <c r="B253" s="1"/>
      <c r="C253" s="157"/>
      <c r="D253" s="1"/>
      <c r="E253" s="150"/>
      <c r="F253" s="150"/>
      <c r="G253" s="151"/>
      <c r="H253" s="150"/>
      <c r="I253" s="150"/>
      <c r="J253" s="151"/>
      <c r="K253" s="151"/>
      <c r="L253" s="150"/>
      <c r="M253" s="151"/>
      <c r="N253" s="151"/>
      <c r="O253" s="151"/>
      <c r="P253" s="150"/>
      <c r="Q253" s="150"/>
      <c r="R253" s="158"/>
      <c r="S253" s="158"/>
      <c r="T253" s="158"/>
      <c r="U253" s="158"/>
      <c r="V253" s="1"/>
      <c r="W253" s="1"/>
      <c r="X253" s="157"/>
      <c r="Y253" s="157"/>
      <c r="Z253" s="157"/>
      <c r="AA253" s="157"/>
      <c r="AB253" s="157"/>
      <c r="AC253" s="151"/>
      <c r="AD253" s="151"/>
      <c r="AE253" s="151"/>
      <c r="AF253" s="157"/>
      <c r="AG253" s="157"/>
      <c r="AH253" s="157"/>
      <c r="AI253" s="157"/>
      <c r="AJ253" s="157"/>
      <c r="AK253" s="157"/>
      <c r="AL253" s="157"/>
      <c r="AM253" s="157"/>
      <c r="AN253" s="159"/>
      <c r="AO253" s="159"/>
      <c r="AP253" s="160"/>
      <c r="AQ253" s="160"/>
      <c r="AR253" s="160"/>
      <c r="AS253" s="159"/>
      <c r="AT253" s="159"/>
      <c r="AU253" s="161"/>
      <c r="AV253" s="157"/>
      <c r="AW253" s="157"/>
      <c r="AX253" s="157"/>
      <c r="AY253" s="157"/>
      <c r="AZ253" s="157"/>
      <c r="BA253" s="157"/>
      <c r="BB253" s="157"/>
      <c r="BC253" s="151"/>
      <c r="BD253" s="157"/>
      <c r="BE253" s="157"/>
      <c r="BF253" s="157"/>
      <c r="BG253" s="157"/>
      <c r="BH253" s="157"/>
      <c r="BI253" s="157"/>
      <c r="BJ253" s="353"/>
      <c r="BK253" s="353"/>
      <c r="BL253" s="353"/>
      <c r="BM253" s="14"/>
      <c r="BN253" s="14"/>
      <c r="BO253" s="14"/>
    </row>
    <row r="254" spans="1:67" ht="20.100000000000001" customHeight="1">
      <c r="A254" s="157"/>
      <c r="B254" s="1"/>
      <c r="C254" s="157"/>
      <c r="D254" s="1"/>
      <c r="E254" s="150"/>
      <c r="F254" s="150"/>
      <c r="G254" s="151"/>
      <c r="H254" s="150"/>
      <c r="I254" s="150"/>
      <c r="J254" s="151"/>
      <c r="K254" s="151"/>
      <c r="L254" s="150"/>
      <c r="M254" s="151"/>
      <c r="N254" s="151"/>
      <c r="O254" s="151"/>
      <c r="P254" s="150"/>
      <c r="Q254" s="150"/>
      <c r="R254" s="158"/>
      <c r="S254" s="158"/>
      <c r="T254" s="158"/>
      <c r="U254" s="158"/>
      <c r="V254" s="1"/>
      <c r="W254" s="1"/>
      <c r="X254" s="157"/>
      <c r="Y254" s="157"/>
      <c r="Z254" s="157"/>
      <c r="AA254" s="157"/>
      <c r="AB254" s="157"/>
      <c r="AC254" s="151"/>
      <c r="AD254" s="151"/>
      <c r="AE254" s="151"/>
      <c r="AF254" s="157"/>
      <c r="AG254" s="157"/>
      <c r="AH254" s="157"/>
      <c r="AI254" s="157"/>
      <c r="AJ254" s="157"/>
      <c r="AK254" s="157"/>
      <c r="AL254" s="157"/>
      <c r="AM254" s="157"/>
      <c r="AN254" s="159"/>
      <c r="AO254" s="159"/>
      <c r="AP254" s="160"/>
      <c r="AQ254" s="160"/>
      <c r="AR254" s="160"/>
      <c r="AS254" s="159"/>
      <c r="AT254" s="159"/>
      <c r="AU254" s="161"/>
      <c r="AV254" s="157"/>
      <c r="AW254" s="157"/>
      <c r="AX254" s="157"/>
      <c r="AY254" s="157"/>
      <c r="AZ254" s="157"/>
      <c r="BA254" s="157"/>
      <c r="BB254" s="157"/>
      <c r="BC254" s="151"/>
      <c r="BD254" s="157"/>
      <c r="BE254" s="157"/>
      <c r="BF254" s="157"/>
      <c r="BG254" s="157"/>
      <c r="BH254" s="157"/>
      <c r="BI254" s="157"/>
      <c r="BJ254" s="353"/>
      <c r="BK254" s="353"/>
      <c r="BL254" s="353"/>
      <c r="BM254" s="14"/>
      <c r="BN254" s="14"/>
      <c r="BO254" s="14"/>
    </row>
    <row r="255" spans="1:67" ht="20.100000000000001" customHeight="1">
      <c r="A255" s="157"/>
      <c r="B255" s="1"/>
      <c r="C255" s="157"/>
      <c r="D255" s="1"/>
      <c r="E255" s="150"/>
      <c r="F255" s="150"/>
      <c r="G255" s="151"/>
      <c r="H255" s="150"/>
      <c r="I255" s="150"/>
      <c r="J255" s="151"/>
      <c r="K255" s="151"/>
      <c r="L255" s="150"/>
      <c r="M255" s="151"/>
      <c r="N255" s="151"/>
      <c r="O255" s="151"/>
      <c r="P255" s="150"/>
      <c r="Q255" s="150"/>
      <c r="R255" s="158"/>
      <c r="S255" s="158"/>
      <c r="T255" s="158"/>
      <c r="U255" s="158"/>
      <c r="V255" s="1"/>
      <c r="W255" s="1"/>
      <c r="X255" s="157"/>
      <c r="Y255" s="157"/>
      <c r="Z255" s="157"/>
      <c r="AA255" s="157"/>
      <c r="AB255" s="157"/>
      <c r="AC255" s="151"/>
      <c r="AD255" s="151"/>
      <c r="AE255" s="151"/>
      <c r="AF255" s="157"/>
      <c r="AG255" s="157"/>
      <c r="AH255" s="157"/>
      <c r="AI255" s="157"/>
      <c r="AJ255" s="157"/>
      <c r="AK255" s="157"/>
      <c r="AL255" s="157"/>
      <c r="AM255" s="157"/>
      <c r="AN255" s="159"/>
      <c r="AO255" s="159"/>
      <c r="AP255" s="160"/>
      <c r="AQ255" s="160"/>
      <c r="AR255" s="160"/>
      <c r="AS255" s="159"/>
      <c r="AT255" s="159"/>
      <c r="AU255" s="161"/>
      <c r="AV255" s="157"/>
      <c r="AW255" s="157"/>
      <c r="AX255" s="157"/>
      <c r="AY255" s="157"/>
      <c r="AZ255" s="157"/>
      <c r="BA255" s="157"/>
      <c r="BB255" s="157"/>
      <c r="BC255" s="151"/>
      <c r="BD255" s="157"/>
      <c r="BE255" s="157"/>
      <c r="BF255" s="157"/>
      <c r="BG255" s="157"/>
      <c r="BH255" s="157"/>
      <c r="BI255" s="157"/>
      <c r="BJ255" s="353"/>
      <c r="BK255" s="353"/>
      <c r="BL255" s="353"/>
      <c r="BM255" s="14"/>
      <c r="BN255" s="14"/>
      <c r="BO255" s="14"/>
    </row>
    <row r="256" spans="1:67" ht="20.100000000000001" customHeight="1">
      <c r="A256" s="157"/>
      <c r="B256" s="1"/>
      <c r="C256" s="157"/>
      <c r="D256" s="1"/>
      <c r="E256" s="150"/>
      <c r="F256" s="150"/>
      <c r="G256" s="151"/>
      <c r="H256" s="150"/>
      <c r="I256" s="150"/>
      <c r="J256" s="151"/>
      <c r="K256" s="151"/>
      <c r="L256" s="150"/>
      <c r="M256" s="151"/>
      <c r="N256" s="151"/>
      <c r="O256" s="151"/>
      <c r="P256" s="150"/>
      <c r="Q256" s="150"/>
      <c r="R256" s="158"/>
      <c r="S256" s="158"/>
      <c r="T256" s="158"/>
      <c r="U256" s="158"/>
      <c r="V256" s="1"/>
      <c r="W256" s="1"/>
      <c r="X256" s="157"/>
      <c r="Y256" s="157"/>
      <c r="Z256" s="157"/>
      <c r="AA256" s="157"/>
      <c r="AB256" s="157"/>
      <c r="AC256" s="151"/>
      <c r="AD256" s="151"/>
      <c r="AE256" s="151"/>
      <c r="AF256" s="157"/>
      <c r="AG256" s="157"/>
      <c r="AH256" s="157"/>
      <c r="AI256" s="157"/>
      <c r="AJ256" s="157"/>
      <c r="AK256" s="157"/>
      <c r="AL256" s="157"/>
      <c r="AM256" s="157"/>
      <c r="AN256" s="159"/>
      <c r="AO256" s="159"/>
      <c r="AP256" s="160"/>
      <c r="AQ256" s="160"/>
      <c r="AR256" s="160"/>
      <c r="AS256" s="159"/>
      <c r="AT256" s="159"/>
      <c r="AU256" s="161"/>
      <c r="AV256" s="157"/>
      <c r="AW256" s="157"/>
      <c r="AX256" s="157"/>
      <c r="AY256" s="157"/>
      <c r="AZ256" s="157"/>
      <c r="BA256" s="157"/>
      <c r="BB256" s="157"/>
      <c r="BC256" s="151"/>
      <c r="BD256" s="157"/>
      <c r="BE256" s="157"/>
      <c r="BF256" s="157"/>
      <c r="BG256" s="157"/>
      <c r="BH256" s="157"/>
      <c r="BI256" s="157"/>
      <c r="BJ256" s="353"/>
      <c r="BK256" s="353"/>
      <c r="BL256" s="353"/>
      <c r="BM256" s="14"/>
      <c r="BN256" s="14"/>
      <c r="BO256" s="14"/>
    </row>
    <row r="257" spans="1:67" ht="20.100000000000001" customHeight="1">
      <c r="A257" s="157"/>
      <c r="B257" s="1"/>
      <c r="C257" s="157"/>
      <c r="D257" s="1"/>
      <c r="E257" s="150"/>
      <c r="F257" s="150"/>
      <c r="G257" s="151"/>
      <c r="H257" s="150"/>
      <c r="I257" s="150"/>
      <c r="J257" s="151"/>
      <c r="K257" s="151"/>
      <c r="L257" s="150"/>
      <c r="M257" s="151"/>
      <c r="N257" s="151"/>
      <c r="O257" s="151"/>
      <c r="P257" s="150"/>
      <c r="Q257" s="150"/>
      <c r="R257" s="158"/>
      <c r="S257" s="158"/>
      <c r="T257" s="158"/>
      <c r="U257" s="158"/>
      <c r="V257" s="1"/>
      <c r="W257" s="1"/>
      <c r="X257" s="157"/>
      <c r="Y257" s="157"/>
      <c r="Z257" s="157"/>
      <c r="AA257" s="157"/>
      <c r="AB257" s="157"/>
      <c r="AC257" s="151"/>
      <c r="AD257" s="151"/>
      <c r="AE257" s="151"/>
      <c r="AF257" s="157"/>
      <c r="AG257" s="157"/>
      <c r="AH257" s="157"/>
      <c r="AI257" s="157"/>
      <c r="AJ257" s="157"/>
      <c r="AK257" s="157"/>
      <c r="AL257" s="157"/>
      <c r="AM257" s="157"/>
      <c r="AN257" s="159"/>
      <c r="AO257" s="159"/>
      <c r="AP257" s="160"/>
      <c r="AQ257" s="160"/>
      <c r="AR257" s="160"/>
      <c r="AS257" s="159"/>
      <c r="AT257" s="159"/>
      <c r="AU257" s="161"/>
      <c r="AV257" s="157"/>
      <c r="AW257" s="157"/>
      <c r="AX257" s="157"/>
      <c r="AY257" s="157"/>
      <c r="AZ257" s="157"/>
      <c r="BA257" s="157"/>
      <c r="BB257" s="157"/>
      <c r="BC257" s="151"/>
      <c r="BD257" s="157"/>
      <c r="BE257" s="157"/>
      <c r="BF257" s="157"/>
      <c r="BG257" s="157"/>
      <c r="BH257" s="157"/>
      <c r="BI257" s="157"/>
      <c r="BJ257" s="353"/>
      <c r="BK257" s="353"/>
      <c r="BL257" s="353"/>
      <c r="BM257" s="14"/>
      <c r="BN257" s="14"/>
      <c r="BO257" s="14"/>
    </row>
    <row r="258" spans="1:67" ht="20.100000000000001" customHeight="1">
      <c r="A258" s="157"/>
      <c r="B258" s="1"/>
      <c r="C258" s="157"/>
      <c r="D258" s="1"/>
      <c r="E258" s="150"/>
      <c r="F258" s="150"/>
      <c r="G258" s="151"/>
      <c r="H258" s="150"/>
      <c r="I258" s="150"/>
      <c r="J258" s="151"/>
      <c r="K258" s="151"/>
      <c r="L258" s="150"/>
      <c r="M258" s="151"/>
      <c r="N258" s="151"/>
      <c r="O258" s="151"/>
      <c r="P258" s="150"/>
      <c r="Q258" s="150"/>
      <c r="R258" s="158"/>
      <c r="S258" s="158"/>
      <c r="T258" s="158"/>
      <c r="U258" s="158"/>
      <c r="V258" s="1"/>
      <c r="W258" s="1"/>
      <c r="X258" s="157"/>
      <c r="Y258" s="157"/>
      <c r="Z258" s="157"/>
      <c r="AA258" s="157"/>
      <c r="AB258" s="157"/>
      <c r="AC258" s="151"/>
      <c r="AD258" s="151"/>
      <c r="AE258" s="151"/>
      <c r="AF258" s="157"/>
      <c r="AG258" s="157"/>
      <c r="AH258" s="157"/>
      <c r="AI258" s="157"/>
      <c r="AJ258" s="157"/>
      <c r="AK258" s="157"/>
      <c r="AL258" s="157"/>
      <c r="AM258" s="157"/>
      <c r="AN258" s="159"/>
      <c r="AO258" s="159"/>
      <c r="AP258" s="160"/>
      <c r="AQ258" s="160"/>
      <c r="AR258" s="160"/>
      <c r="AS258" s="159"/>
      <c r="AT258" s="159"/>
      <c r="AU258" s="161"/>
      <c r="AV258" s="157"/>
      <c r="AW258" s="157"/>
      <c r="AX258" s="157"/>
      <c r="AY258" s="157"/>
      <c r="AZ258" s="157"/>
      <c r="BA258" s="157"/>
      <c r="BB258" s="157"/>
      <c r="BC258" s="151"/>
      <c r="BD258" s="157"/>
      <c r="BE258" s="157"/>
      <c r="BF258" s="157"/>
      <c r="BG258" s="157"/>
      <c r="BH258" s="157"/>
      <c r="BI258" s="157"/>
      <c r="BJ258" s="353"/>
      <c r="BK258" s="353"/>
      <c r="BL258" s="353"/>
      <c r="BM258" s="14"/>
      <c r="BN258" s="14"/>
      <c r="BO258" s="14"/>
    </row>
    <row r="259" spans="1:67" ht="20.100000000000001" customHeight="1">
      <c r="A259" s="157"/>
      <c r="B259" s="1"/>
      <c r="C259" s="157"/>
      <c r="D259" s="1"/>
      <c r="E259" s="150"/>
      <c r="F259" s="150"/>
      <c r="G259" s="151"/>
      <c r="H259" s="150"/>
      <c r="I259" s="150"/>
      <c r="J259" s="151"/>
      <c r="K259" s="151"/>
      <c r="L259" s="150"/>
      <c r="M259" s="151"/>
      <c r="N259" s="151"/>
      <c r="O259" s="151"/>
      <c r="P259" s="150"/>
      <c r="Q259" s="150"/>
      <c r="R259" s="158"/>
      <c r="S259" s="158"/>
      <c r="T259" s="158"/>
      <c r="U259" s="158"/>
      <c r="V259" s="1"/>
      <c r="W259" s="1"/>
      <c r="X259" s="157"/>
      <c r="Y259" s="157"/>
      <c r="Z259" s="157"/>
      <c r="AA259" s="157"/>
      <c r="AB259" s="157"/>
      <c r="AC259" s="151"/>
      <c r="AD259" s="151"/>
      <c r="AE259" s="151"/>
      <c r="AF259" s="157"/>
      <c r="AG259" s="157"/>
      <c r="AH259" s="157"/>
      <c r="AI259" s="157"/>
      <c r="AJ259" s="157"/>
      <c r="AK259" s="157"/>
      <c r="AL259" s="157"/>
      <c r="AM259" s="157"/>
      <c r="AN259" s="159"/>
      <c r="AO259" s="159"/>
      <c r="AP259" s="160"/>
      <c r="AQ259" s="160"/>
      <c r="AR259" s="160"/>
      <c r="AS259" s="159"/>
      <c r="AT259" s="159"/>
      <c r="AU259" s="161"/>
      <c r="AV259" s="157"/>
      <c r="AW259" s="157"/>
      <c r="AX259" s="157"/>
      <c r="AY259" s="157"/>
      <c r="AZ259" s="157"/>
      <c r="BA259" s="157"/>
      <c r="BB259" s="157"/>
      <c r="BC259" s="151"/>
      <c r="BD259" s="157"/>
      <c r="BE259" s="157"/>
      <c r="BF259" s="157"/>
      <c r="BG259" s="157"/>
      <c r="BH259" s="157"/>
      <c r="BI259" s="157"/>
      <c r="BJ259" s="353"/>
      <c r="BK259" s="353"/>
      <c r="BL259" s="353"/>
      <c r="BM259" s="14"/>
      <c r="BN259" s="14"/>
      <c r="BO259" s="14"/>
    </row>
    <row r="260" spans="1:67" ht="20.100000000000001" customHeight="1">
      <c r="A260" s="157"/>
      <c r="B260" s="1"/>
      <c r="C260" s="157"/>
      <c r="D260" s="1"/>
      <c r="E260" s="150"/>
      <c r="F260" s="150"/>
      <c r="G260" s="151"/>
      <c r="H260" s="150"/>
      <c r="I260" s="150"/>
      <c r="J260" s="151"/>
      <c r="K260" s="151"/>
      <c r="L260" s="150"/>
      <c r="M260" s="151"/>
      <c r="N260" s="151"/>
      <c r="O260" s="151"/>
      <c r="P260" s="150"/>
      <c r="Q260" s="150"/>
      <c r="R260" s="158"/>
      <c r="S260" s="158"/>
      <c r="T260" s="158"/>
      <c r="U260" s="158"/>
      <c r="V260" s="1"/>
      <c r="W260" s="1"/>
      <c r="X260" s="157"/>
      <c r="Y260" s="157"/>
      <c r="Z260" s="157"/>
      <c r="AA260" s="157"/>
      <c r="AB260" s="157"/>
      <c r="AC260" s="151"/>
      <c r="AD260" s="151"/>
      <c r="AE260" s="151"/>
      <c r="AF260" s="157"/>
      <c r="AG260" s="157"/>
      <c r="AH260" s="157"/>
      <c r="AI260" s="157"/>
      <c r="AJ260" s="157"/>
      <c r="AK260" s="157"/>
      <c r="AL260" s="157"/>
      <c r="AM260" s="157"/>
      <c r="AN260" s="159"/>
      <c r="AO260" s="159"/>
      <c r="AP260" s="160"/>
      <c r="AQ260" s="160"/>
      <c r="AR260" s="160"/>
      <c r="AS260" s="159"/>
      <c r="AT260" s="159"/>
      <c r="AU260" s="161"/>
      <c r="AV260" s="157"/>
      <c r="AW260" s="157"/>
      <c r="AX260" s="157"/>
      <c r="AY260" s="157"/>
      <c r="AZ260" s="157"/>
      <c r="BA260" s="157"/>
      <c r="BB260" s="157"/>
      <c r="BC260" s="151"/>
      <c r="BD260" s="157"/>
      <c r="BE260" s="157"/>
      <c r="BF260" s="157"/>
      <c r="BG260" s="157"/>
      <c r="BH260" s="157"/>
      <c r="BI260" s="157"/>
      <c r="BJ260" s="353"/>
      <c r="BK260" s="353"/>
      <c r="BL260" s="353"/>
      <c r="BM260" s="14"/>
      <c r="BN260" s="14"/>
      <c r="BO260" s="14"/>
    </row>
    <row r="261" spans="1:67" ht="20.100000000000001" customHeight="1">
      <c r="A261" s="157"/>
      <c r="B261" s="1"/>
      <c r="C261" s="157"/>
      <c r="D261" s="1"/>
      <c r="E261" s="150"/>
      <c r="F261" s="150"/>
      <c r="G261" s="151"/>
      <c r="H261" s="150"/>
      <c r="I261" s="150"/>
      <c r="J261" s="151"/>
      <c r="K261" s="151"/>
      <c r="L261" s="150"/>
      <c r="M261" s="151"/>
      <c r="N261" s="151"/>
      <c r="O261" s="151"/>
      <c r="P261" s="150"/>
      <c r="Q261" s="150"/>
      <c r="R261" s="158"/>
      <c r="S261" s="158"/>
      <c r="T261" s="158"/>
      <c r="U261" s="158"/>
      <c r="V261" s="1"/>
      <c r="W261" s="1"/>
      <c r="X261" s="157"/>
      <c r="Y261" s="157"/>
      <c r="Z261" s="157"/>
      <c r="AA261" s="157"/>
      <c r="AB261" s="157"/>
      <c r="AC261" s="151"/>
      <c r="AD261" s="151"/>
      <c r="AE261" s="151"/>
      <c r="AF261" s="157"/>
      <c r="AG261" s="157"/>
      <c r="AH261" s="157"/>
      <c r="AI261" s="157"/>
      <c r="AJ261" s="157"/>
      <c r="AK261" s="157"/>
      <c r="AL261" s="157"/>
      <c r="AM261" s="157"/>
      <c r="AN261" s="159"/>
      <c r="AO261" s="159"/>
      <c r="AP261" s="160"/>
      <c r="AQ261" s="160"/>
      <c r="AR261" s="160"/>
      <c r="AS261" s="159"/>
      <c r="AT261" s="159"/>
      <c r="AU261" s="161"/>
      <c r="AV261" s="157"/>
      <c r="AW261" s="157"/>
      <c r="AX261" s="157"/>
      <c r="AY261" s="157"/>
      <c r="AZ261" s="157"/>
      <c r="BA261" s="157"/>
      <c r="BB261" s="157"/>
      <c r="BC261" s="151"/>
      <c r="BD261" s="157"/>
      <c r="BE261" s="157"/>
      <c r="BF261" s="157"/>
      <c r="BG261" s="157"/>
      <c r="BH261" s="157"/>
      <c r="BI261" s="157"/>
      <c r="BJ261" s="353"/>
      <c r="BK261" s="353"/>
      <c r="BL261" s="353"/>
      <c r="BM261" s="14"/>
      <c r="BN261" s="14"/>
      <c r="BO261" s="14"/>
    </row>
    <row r="262" spans="1:67" ht="20.100000000000001" customHeight="1">
      <c r="A262" s="157"/>
      <c r="B262" s="1"/>
      <c r="C262" s="157"/>
      <c r="D262" s="1"/>
      <c r="E262" s="150"/>
      <c r="F262" s="150"/>
      <c r="G262" s="151"/>
      <c r="H262" s="150"/>
      <c r="I262" s="150"/>
      <c r="J262" s="151"/>
      <c r="K262" s="151"/>
      <c r="L262" s="150"/>
      <c r="M262" s="151"/>
      <c r="N262" s="151"/>
      <c r="O262" s="151"/>
      <c r="P262" s="150"/>
      <c r="Q262" s="150"/>
      <c r="R262" s="158"/>
      <c r="S262" s="158"/>
      <c r="T262" s="158"/>
      <c r="U262" s="158"/>
      <c r="V262" s="1"/>
      <c r="W262" s="1"/>
      <c r="X262" s="157"/>
      <c r="Y262" s="157"/>
      <c r="Z262" s="157"/>
      <c r="AA262" s="157"/>
      <c r="AB262" s="157"/>
      <c r="AC262" s="151"/>
      <c r="AD262" s="151"/>
      <c r="AE262" s="151"/>
      <c r="AF262" s="157"/>
      <c r="AG262" s="157"/>
      <c r="AH262" s="157"/>
      <c r="AI262" s="157"/>
      <c r="AJ262" s="157"/>
      <c r="AK262" s="157"/>
      <c r="AL262" s="157"/>
      <c r="AM262" s="157"/>
      <c r="AN262" s="159"/>
      <c r="AO262" s="159"/>
      <c r="AP262" s="160"/>
      <c r="AQ262" s="160"/>
      <c r="AR262" s="160"/>
      <c r="AS262" s="159"/>
      <c r="AT262" s="159"/>
      <c r="AU262" s="161"/>
      <c r="AV262" s="157"/>
      <c r="AW262" s="157"/>
      <c r="AX262" s="157"/>
      <c r="AY262" s="157"/>
      <c r="AZ262" s="157"/>
      <c r="BA262" s="157"/>
      <c r="BB262" s="157"/>
      <c r="BC262" s="151"/>
      <c r="BD262" s="157"/>
      <c r="BE262" s="157"/>
      <c r="BF262" s="157"/>
      <c r="BG262" s="157"/>
      <c r="BH262" s="157"/>
      <c r="BI262" s="157"/>
      <c r="BJ262" s="353"/>
      <c r="BK262" s="353"/>
      <c r="BL262" s="353"/>
      <c r="BM262" s="14"/>
      <c r="BN262" s="14"/>
      <c r="BO262" s="14"/>
    </row>
    <row r="263" spans="1:67" ht="20.100000000000001" customHeight="1">
      <c r="A263" s="157"/>
      <c r="B263" s="1"/>
      <c r="C263" s="157"/>
      <c r="D263" s="1"/>
      <c r="E263" s="150"/>
      <c r="F263" s="150"/>
      <c r="G263" s="151"/>
      <c r="H263" s="150"/>
      <c r="I263" s="150"/>
      <c r="J263" s="151"/>
      <c r="K263" s="151"/>
      <c r="L263" s="150"/>
      <c r="M263" s="151"/>
      <c r="N263" s="151"/>
      <c r="O263" s="151"/>
      <c r="P263" s="150"/>
      <c r="Q263" s="150"/>
      <c r="R263" s="158"/>
      <c r="S263" s="158"/>
      <c r="T263" s="158"/>
      <c r="U263" s="158"/>
      <c r="V263" s="1"/>
      <c r="W263" s="1"/>
      <c r="X263" s="157"/>
      <c r="Y263" s="157"/>
      <c r="Z263" s="157"/>
      <c r="AA263" s="157"/>
      <c r="AB263" s="157"/>
      <c r="AC263" s="151"/>
      <c r="AD263" s="151"/>
      <c r="AE263" s="151"/>
      <c r="AF263" s="157"/>
      <c r="AG263" s="157"/>
      <c r="AH263" s="157"/>
      <c r="AI263" s="157"/>
      <c r="AJ263" s="157"/>
      <c r="AK263" s="157"/>
      <c r="AL263" s="157"/>
      <c r="AM263" s="157"/>
      <c r="AN263" s="159"/>
      <c r="AO263" s="159"/>
      <c r="AP263" s="160"/>
      <c r="AQ263" s="160"/>
      <c r="AR263" s="160"/>
      <c r="AS263" s="159"/>
      <c r="AT263" s="159"/>
      <c r="AU263" s="161"/>
      <c r="AV263" s="157"/>
      <c r="AW263" s="157"/>
      <c r="AX263" s="157"/>
      <c r="AY263" s="157"/>
      <c r="AZ263" s="157"/>
      <c r="BA263" s="157"/>
      <c r="BB263" s="157"/>
      <c r="BC263" s="151"/>
      <c r="BD263" s="157"/>
      <c r="BE263" s="157"/>
      <c r="BF263" s="157"/>
      <c r="BG263" s="157"/>
      <c r="BH263" s="157"/>
      <c r="BI263" s="157"/>
      <c r="BJ263" s="353"/>
      <c r="BK263" s="353"/>
      <c r="BL263" s="353"/>
      <c r="BM263" s="14"/>
      <c r="BN263" s="14"/>
      <c r="BO263" s="14"/>
    </row>
    <row r="264" spans="1:67" ht="20.100000000000001" customHeight="1">
      <c r="A264" s="157"/>
      <c r="B264" s="1"/>
      <c r="C264" s="157"/>
      <c r="D264" s="1"/>
      <c r="E264" s="150"/>
      <c r="F264" s="150"/>
      <c r="G264" s="151"/>
      <c r="H264" s="150"/>
      <c r="I264" s="150"/>
      <c r="J264" s="151"/>
      <c r="K264" s="151"/>
      <c r="L264" s="150"/>
      <c r="M264" s="151"/>
      <c r="N264" s="151"/>
      <c r="O264" s="151"/>
      <c r="P264" s="150"/>
      <c r="Q264" s="150"/>
      <c r="R264" s="158"/>
      <c r="S264" s="158"/>
      <c r="T264" s="158"/>
      <c r="U264" s="158"/>
      <c r="V264" s="1"/>
      <c r="W264" s="1"/>
      <c r="X264" s="157"/>
      <c r="Y264" s="157"/>
      <c r="Z264" s="157"/>
      <c r="AA264" s="157"/>
      <c r="AB264" s="157"/>
      <c r="AC264" s="151"/>
      <c r="AD264" s="151"/>
      <c r="AE264" s="151"/>
      <c r="AF264" s="157"/>
      <c r="AG264" s="157"/>
      <c r="AH264" s="157"/>
      <c r="AI264" s="157"/>
      <c r="AJ264" s="157"/>
      <c r="AK264" s="157"/>
      <c r="AL264" s="157"/>
      <c r="AM264" s="157"/>
      <c r="AN264" s="159"/>
      <c r="AO264" s="159"/>
      <c r="AP264" s="160"/>
      <c r="AQ264" s="160"/>
      <c r="AR264" s="160"/>
      <c r="AS264" s="159"/>
      <c r="AT264" s="159"/>
      <c r="AU264" s="161"/>
      <c r="AV264" s="157"/>
      <c r="AW264" s="157"/>
      <c r="AX264" s="157"/>
      <c r="AY264" s="157"/>
      <c r="AZ264" s="157"/>
      <c r="BA264" s="157"/>
      <c r="BB264" s="157"/>
      <c r="BC264" s="151"/>
      <c r="BD264" s="157"/>
      <c r="BE264" s="157"/>
      <c r="BF264" s="157"/>
      <c r="BG264" s="157"/>
      <c r="BH264" s="157"/>
      <c r="BI264" s="157"/>
      <c r="BJ264" s="353"/>
      <c r="BK264" s="353"/>
      <c r="BL264" s="353"/>
      <c r="BM264" s="14"/>
      <c r="BN264" s="14"/>
      <c r="BO264" s="14"/>
    </row>
    <row r="265" spans="1:67" ht="20.100000000000001" customHeight="1">
      <c r="A265" s="157"/>
      <c r="B265" s="1"/>
      <c r="C265" s="157"/>
      <c r="D265" s="1"/>
      <c r="E265" s="150"/>
      <c r="F265" s="150"/>
      <c r="G265" s="151"/>
      <c r="H265" s="150"/>
      <c r="I265" s="150"/>
      <c r="J265" s="151"/>
      <c r="K265" s="151"/>
      <c r="L265" s="150"/>
      <c r="M265" s="151"/>
      <c r="N265" s="151"/>
      <c r="O265" s="151"/>
      <c r="P265" s="150"/>
      <c r="Q265" s="150"/>
      <c r="R265" s="158"/>
      <c r="S265" s="158"/>
      <c r="T265" s="158"/>
      <c r="U265" s="158"/>
      <c r="V265" s="1"/>
      <c r="W265" s="1"/>
      <c r="X265" s="157"/>
      <c r="Y265" s="157"/>
      <c r="Z265" s="157"/>
      <c r="AA265" s="157"/>
      <c r="AB265" s="157"/>
      <c r="AC265" s="151"/>
      <c r="AD265" s="151"/>
      <c r="AE265" s="151"/>
      <c r="AF265" s="157"/>
      <c r="AG265" s="157"/>
      <c r="AH265" s="157"/>
      <c r="AI265" s="157"/>
      <c r="AJ265" s="157"/>
      <c r="AK265" s="157"/>
      <c r="AL265" s="157"/>
      <c r="AM265" s="157"/>
      <c r="AN265" s="159"/>
      <c r="AO265" s="159"/>
      <c r="AP265" s="160"/>
      <c r="AQ265" s="160"/>
      <c r="AR265" s="160"/>
      <c r="AS265" s="159"/>
      <c r="AT265" s="159"/>
      <c r="AU265" s="161"/>
      <c r="AV265" s="157"/>
      <c r="AW265" s="157"/>
      <c r="AX265" s="157"/>
      <c r="AY265" s="157"/>
      <c r="AZ265" s="157"/>
      <c r="BA265" s="157"/>
      <c r="BB265" s="157"/>
      <c r="BC265" s="151"/>
      <c r="BD265" s="157"/>
      <c r="BE265" s="157"/>
      <c r="BF265" s="157"/>
      <c r="BG265" s="157"/>
      <c r="BH265" s="157"/>
      <c r="BI265" s="157"/>
      <c r="BJ265" s="353"/>
      <c r="BK265" s="353"/>
      <c r="BL265" s="353"/>
      <c r="BM265" s="14"/>
      <c r="BN265" s="14"/>
      <c r="BO265" s="14"/>
    </row>
    <row r="266" spans="1:67" ht="20.100000000000001" customHeight="1">
      <c r="A266" s="157"/>
      <c r="B266" s="1"/>
      <c r="C266" s="157"/>
      <c r="D266" s="1"/>
      <c r="E266" s="150"/>
      <c r="F266" s="150"/>
      <c r="G266" s="151"/>
      <c r="H266" s="150"/>
      <c r="I266" s="150"/>
      <c r="J266" s="151"/>
      <c r="K266" s="151"/>
      <c r="L266" s="150"/>
      <c r="M266" s="151"/>
      <c r="N266" s="151"/>
      <c r="O266" s="151"/>
      <c r="P266" s="150"/>
      <c r="Q266" s="150"/>
      <c r="R266" s="158"/>
      <c r="S266" s="158"/>
      <c r="T266" s="158"/>
      <c r="U266" s="158"/>
      <c r="V266" s="1"/>
      <c r="W266" s="1"/>
      <c r="X266" s="157"/>
      <c r="Y266" s="157"/>
      <c r="Z266" s="157"/>
      <c r="AA266" s="157"/>
      <c r="AB266" s="157"/>
      <c r="AC266" s="151"/>
      <c r="AD266" s="151"/>
      <c r="AE266" s="151"/>
      <c r="AF266" s="157"/>
      <c r="AG266" s="157"/>
      <c r="AH266" s="157"/>
      <c r="AI266" s="157"/>
      <c r="AJ266" s="157"/>
      <c r="AK266" s="157"/>
      <c r="AL266" s="157"/>
      <c r="AM266" s="157"/>
      <c r="AN266" s="159"/>
      <c r="AO266" s="159"/>
      <c r="AP266" s="160"/>
      <c r="AQ266" s="160"/>
      <c r="AR266" s="160"/>
      <c r="AS266" s="159"/>
      <c r="AT266" s="159"/>
      <c r="AU266" s="161"/>
      <c r="AV266" s="157"/>
      <c r="AW266" s="157"/>
      <c r="AX266" s="157"/>
      <c r="AY266" s="157"/>
      <c r="AZ266" s="157"/>
      <c r="BA266" s="157"/>
      <c r="BB266" s="157"/>
      <c r="BC266" s="151"/>
      <c r="BD266" s="157"/>
      <c r="BE266" s="157"/>
      <c r="BF266" s="157"/>
      <c r="BG266" s="157"/>
      <c r="BH266" s="157"/>
      <c r="BI266" s="157"/>
      <c r="BJ266" s="353"/>
      <c r="BK266" s="353"/>
      <c r="BL266" s="353"/>
      <c r="BM266" s="14"/>
      <c r="BN266" s="14"/>
      <c r="BO266" s="14"/>
    </row>
    <row r="267" spans="1:67" ht="20.100000000000001" customHeight="1">
      <c r="A267" s="157"/>
      <c r="B267" s="1"/>
      <c r="C267" s="157"/>
      <c r="D267" s="1"/>
      <c r="E267" s="150"/>
      <c r="F267" s="150"/>
      <c r="G267" s="151"/>
      <c r="H267" s="150"/>
      <c r="I267" s="150"/>
      <c r="J267" s="151"/>
      <c r="K267" s="151"/>
      <c r="L267" s="150"/>
      <c r="M267" s="151"/>
      <c r="N267" s="151"/>
      <c r="O267" s="151"/>
      <c r="P267" s="150"/>
      <c r="Q267" s="150"/>
      <c r="R267" s="158"/>
      <c r="S267" s="158"/>
      <c r="T267" s="158"/>
      <c r="U267" s="158"/>
      <c r="V267" s="1"/>
      <c r="W267" s="1"/>
      <c r="X267" s="157"/>
      <c r="Y267" s="157"/>
      <c r="Z267" s="157"/>
      <c r="AA267" s="157"/>
      <c r="AB267" s="157"/>
      <c r="AC267" s="151"/>
      <c r="AD267" s="151"/>
      <c r="AE267" s="151"/>
      <c r="AF267" s="157"/>
      <c r="AG267" s="157"/>
      <c r="AH267" s="157"/>
      <c r="AI267" s="157"/>
      <c r="AJ267" s="157"/>
      <c r="AK267" s="157"/>
      <c r="AL267" s="157"/>
      <c r="AM267" s="157"/>
      <c r="AN267" s="159"/>
      <c r="AO267" s="159"/>
      <c r="AP267" s="160"/>
      <c r="AQ267" s="160"/>
      <c r="AR267" s="160"/>
      <c r="AS267" s="159"/>
      <c r="AT267" s="159"/>
      <c r="AU267" s="161"/>
      <c r="AV267" s="157"/>
      <c r="AW267" s="157"/>
      <c r="AX267" s="157"/>
      <c r="AY267" s="157"/>
      <c r="AZ267" s="157"/>
      <c r="BA267" s="157"/>
      <c r="BB267" s="157"/>
      <c r="BC267" s="151"/>
      <c r="BD267" s="157"/>
      <c r="BE267" s="157"/>
      <c r="BF267" s="157"/>
      <c r="BG267" s="157"/>
      <c r="BH267" s="157"/>
      <c r="BI267" s="157"/>
      <c r="BJ267" s="353"/>
      <c r="BK267" s="353"/>
      <c r="BL267" s="353"/>
      <c r="BM267" s="14"/>
      <c r="BN267" s="14"/>
      <c r="BO267" s="14"/>
    </row>
    <row r="268" spans="1:67" ht="20.100000000000001" customHeight="1">
      <c r="A268" s="157"/>
      <c r="B268" s="1"/>
      <c r="C268" s="157"/>
      <c r="D268" s="1"/>
      <c r="E268" s="150"/>
      <c r="F268" s="150"/>
      <c r="G268" s="151"/>
      <c r="H268" s="150"/>
      <c r="I268" s="150"/>
      <c r="J268" s="151"/>
      <c r="K268" s="151"/>
      <c r="L268" s="150"/>
      <c r="M268" s="151"/>
      <c r="N268" s="151"/>
      <c r="O268" s="151"/>
      <c r="P268" s="150"/>
      <c r="Q268" s="150"/>
      <c r="R268" s="158"/>
      <c r="S268" s="158"/>
      <c r="T268" s="158"/>
      <c r="U268" s="158"/>
      <c r="V268" s="1"/>
      <c r="W268" s="1"/>
      <c r="X268" s="157"/>
      <c r="Y268" s="157"/>
      <c r="Z268" s="157"/>
      <c r="AA268" s="157"/>
      <c r="AB268" s="157"/>
      <c r="AC268" s="151"/>
      <c r="AD268" s="151"/>
      <c r="AE268" s="151"/>
      <c r="AF268" s="157"/>
      <c r="AG268" s="157"/>
      <c r="AH268" s="157"/>
      <c r="AI268" s="157"/>
      <c r="AJ268" s="157"/>
      <c r="AK268" s="157"/>
      <c r="AL268" s="157"/>
      <c r="AM268" s="157"/>
      <c r="AN268" s="159"/>
      <c r="AO268" s="159"/>
      <c r="AP268" s="160"/>
      <c r="AQ268" s="160"/>
      <c r="AR268" s="160"/>
      <c r="AS268" s="159"/>
      <c r="AT268" s="159"/>
      <c r="AU268" s="161"/>
      <c r="AV268" s="157"/>
      <c r="AW268" s="157"/>
      <c r="AX268" s="157"/>
      <c r="AY268" s="157"/>
      <c r="AZ268" s="157"/>
      <c r="BA268" s="157"/>
      <c r="BB268" s="157"/>
      <c r="BC268" s="151"/>
      <c r="BD268" s="157"/>
      <c r="BE268" s="157"/>
      <c r="BF268" s="157"/>
      <c r="BG268" s="157"/>
      <c r="BH268" s="157"/>
      <c r="BI268" s="157"/>
      <c r="BJ268" s="353"/>
      <c r="BK268" s="353"/>
      <c r="BL268" s="353"/>
      <c r="BM268" s="14"/>
      <c r="BN268" s="14"/>
      <c r="BO268" s="14"/>
    </row>
    <row r="269" spans="1:67" ht="20.100000000000001" customHeight="1">
      <c r="A269" s="157"/>
      <c r="B269" s="1"/>
      <c r="C269" s="157"/>
      <c r="D269" s="1"/>
      <c r="E269" s="150"/>
      <c r="F269" s="150"/>
      <c r="G269" s="151"/>
      <c r="H269" s="150"/>
      <c r="I269" s="150"/>
      <c r="J269" s="151"/>
      <c r="K269" s="151"/>
      <c r="L269" s="150"/>
      <c r="M269" s="151"/>
      <c r="N269" s="151"/>
      <c r="O269" s="151"/>
      <c r="P269" s="150"/>
      <c r="Q269" s="150"/>
      <c r="R269" s="158"/>
      <c r="S269" s="158"/>
      <c r="T269" s="158"/>
      <c r="U269" s="158"/>
      <c r="V269" s="1"/>
      <c r="W269" s="1"/>
      <c r="X269" s="157"/>
      <c r="Y269" s="157"/>
      <c r="Z269" s="157"/>
      <c r="AA269" s="157"/>
      <c r="AB269" s="157"/>
      <c r="AC269" s="151"/>
      <c r="AD269" s="151"/>
      <c r="AE269" s="151"/>
      <c r="AF269" s="157"/>
      <c r="AG269" s="157"/>
      <c r="AH269" s="157"/>
      <c r="AI269" s="157"/>
      <c r="AJ269" s="157"/>
      <c r="AK269" s="157"/>
      <c r="AL269" s="157"/>
      <c r="AM269" s="157"/>
      <c r="AN269" s="159"/>
      <c r="AO269" s="159"/>
      <c r="AP269" s="160"/>
      <c r="AQ269" s="160"/>
      <c r="AR269" s="160"/>
      <c r="AS269" s="159"/>
      <c r="AT269" s="159"/>
      <c r="AU269" s="161"/>
      <c r="AV269" s="157"/>
      <c r="AW269" s="157"/>
      <c r="AX269" s="157"/>
      <c r="AY269" s="157"/>
      <c r="AZ269" s="157"/>
      <c r="BA269" s="157"/>
      <c r="BB269" s="157"/>
      <c r="BC269" s="151"/>
      <c r="BD269" s="157"/>
      <c r="BE269" s="157"/>
      <c r="BF269" s="157"/>
      <c r="BG269" s="157"/>
      <c r="BH269" s="157"/>
      <c r="BI269" s="157"/>
      <c r="BJ269" s="353"/>
      <c r="BK269" s="353"/>
      <c r="BL269" s="353"/>
      <c r="BM269" s="14"/>
      <c r="BN269" s="14"/>
      <c r="BO269" s="14"/>
    </row>
    <row r="270" spans="1:67" ht="20.100000000000001" customHeight="1">
      <c r="A270" s="157"/>
      <c r="B270" s="1"/>
      <c r="C270" s="157"/>
      <c r="D270" s="1"/>
      <c r="E270" s="150"/>
      <c r="F270" s="150"/>
      <c r="G270" s="151"/>
      <c r="H270" s="150"/>
      <c r="I270" s="150"/>
      <c r="J270" s="151"/>
      <c r="K270" s="151"/>
      <c r="L270" s="150"/>
      <c r="M270" s="151"/>
      <c r="N270" s="151"/>
      <c r="O270" s="151"/>
      <c r="P270" s="150"/>
      <c r="Q270" s="150"/>
      <c r="R270" s="158"/>
      <c r="S270" s="158"/>
      <c r="T270" s="158"/>
      <c r="U270" s="158"/>
      <c r="V270" s="1"/>
      <c r="W270" s="1"/>
      <c r="X270" s="157"/>
      <c r="Y270" s="157"/>
      <c r="Z270" s="157"/>
      <c r="AA270" s="157"/>
      <c r="AB270" s="157"/>
      <c r="AC270" s="151"/>
      <c r="AD270" s="151"/>
      <c r="AE270" s="151"/>
      <c r="AF270" s="157"/>
      <c r="AG270" s="157"/>
      <c r="AH270" s="157"/>
      <c r="AI270" s="157"/>
      <c r="AJ270" s="157"/>
      <c r="AK270" s="157"/>
      <c r="AL270" s="157"/>
      <c r="AM270" s="157"/>
      <c r="AN270" s="159"/>
      <c r="AO270" s="159"/>
      <c r="AP270" s="160"/>
      <c r="AQ270" s="160"/>
      <c r="AR270" s="160"/>
      <c r="AS270" s="159"/>
      <c r="AT270" s="159"/>
      <c r="AU270" s="161"/>
      <c r="AV270" s="157"/>
      <c r="AW270" s="157"/>
      <c r="AX270" s="157"/>
      <c r="AY270" s="157"/>
      <c r="AZ270" s="157"/>
      <c r="BA270" s="157"/>
      <c r="BB270" s="157"/>
      <c r="BC270" s="151"/>
      <c r="BD270" s="157"/>
      <c r="BE270" s="157"/>
      <c r="BF270" s="157"/>
      <c r="BG270" s="157"/>
      <c r="BH270" s="157"/>
      <c r="BI270" s="157"/>
      <c r="BJ270" s="353"/>
      <c r="BK270" s="353"/>
      <c r="BL270" s="353"/>
      <c r="BM270" s="14"/>
      <c r="BN270" s="14"/>
      <c r="BO270" s="14"/>
    </row>
    <row r="271" spans="1:67" ht="20.100000000000001" customHeight="1">
      <c r="A271" s="157"/>
      <c r="B271" s="1"/>
      <c r="C271" s="157"/>
      <c r="D271" s="1"/>
      <c r="E271" s="150"/>
      <c r="F271" s="150"/>
      <c r="G271" s="151"/>
      <c r="H271" s="150"/>
      <c r="I271" s="150"/>
      <c r="J271" s="151"/>
      <c r="K271" s="151"/>
      <c r="L271" s="150"/>
      <c r="M271" s="151"/>
      <c r="N271" s="151"/>
      <c r="O271" s="151"/>
      <c r="P271" s="150"/>
      <c r="Q271" s="150"/>
      <c r="R271" s="158"/>
      <c r="S271" s="158"/>
      <c r="T271" s="158"/>
      <c r="U271" s="158"/>
      <c r="V271" s="1"/>
      <c r="W271" s="1"/>
      <c r="X271" s="157"/>
      <c r="Y271" s="157"/>
      <c r="Z271" s="157"/>
      <c r="AA271" s="157"/>
      <c r="AB271" s="157"/>
      <c r="AC271" s="151"/>
      <c r="AD271" s="151"/>
      <c r="AE271" s="151"/>
      <c r="AF271" s="157"/>
      <c r="AG271" s="157"/>
      <c r="AH271" s="157"/>
      <c r="AI271" s="157"/>
      <c r="AJ271" s="157"/>
      <c r="AK271" s="157"/>
      <c r="AL271" s="157"/>
      <c r="AM271" s="157"/>
      <c r="AN271" s="159"/>
      <c r="AO271" s="159"/>
      <c r="AP271" s="160"/>
      <c r="AQ271" s="160"/>
      <c r="AR271" s="160"/>
      <c r="AS271" s="159"/>
      <c r="AT271" s="159"/>
      <c r="AU271" s="161"/>
      <c r="AV271" s="157"/>
      <c r="AW271" s="157"/>
      <c r="AX271" s="157"/>
      <c r="AY271" s="157"/>
      <c r="AZ271" s="157"/>
      <c r="BA271" s="157"/>
      <c r="BB271" s="157"/>
      <c r="BC271" s="151"/>
      <c r="BD271" s="157"/>
      <c r="BE271" s="157"/>
      <c r="BF271" s="157"/>
      <c r="BG271" s="157"/>
      <c r="BH271" s="157"/>
      <c r="BI271" s="157"/>
      <c r="BJ271" s="353"/>
      <c r="BK271" s="353"/>
      <c r="BL271" s="353"/>
      <c r="BM271" s="14"/>
      <c r="BN271" s="14"/>
      <c r="BO271" s="14"/>
    </row>
    <row r="272" spans="1:67" ht="20.100000000000001" customHeight="1">
      <c r="A272" s="157"/>
      <c r="B272" s="1"/>
      <c r="C272" s="157"/>
      <c r="D272" s="1"/>
      <c r="E272" s="150"/>
      <c r="F272" s="150"/>
      <c r="G272" s="151"/>
      <c r="H272" s="150"/>
      <c r="I272" s="150"/>
      <c r="J272" s="151"/>
      <c r="K272" s="151"/>
      <c r="L272" s="150"/>
      <c r="M272" s="151"/>
      <c r="N272" s="151"/>
      <c r="O272" s="151"/>
      <c r="P272" s="150"/>
      <c r="Q272" s="150"/>
      <c r="R272" s="158"/>
      <c r="S272" s="158"/>
      <c r="T272" s="158"/>
      <c r="U272" s="158"/>
      <c r="V272" s="1"/>
      <c r="W272" s="1"/>
      <c r="X272" s="157"/>
      <c r="Y272" s="157"/>
      <c r="Z272" s="157"/>
      <c r="AA272" s="157"/>
      <c r="AB272" s="157"/>
      <c r="AC272" s="151"/>
      <c r="AD272" s="151"/>
      <c r="AE272" s="151"/>
      <c r="AF272" s="157"/>
      <c r="AG272" s="157"/>
      <c r="AH272" s="157"/>
      <c r="AI272" s="157"/>
      <c r="AJ272" s="157"/>
      <c r="AK272" s="157"/>
      <c r="AL272" s="157"/>
      <c r="AM272" s="157"/>
      <c r="AN272" s="159"/>
      <c r="AO272" s="159"/>
      <c r="AP272" s="160"/>
      <c r="AQ272" s="160"/>
      <c r="AR272" s="160"/>
      <c r="AS272" s="159"/>
      <c r="AT272" s="159"/>
      <c r="AU272" s="161"/>
      <c r="AV272" s="157"/>
      <c r="AW272" s="157"/>
      <c r="AX272" s="157"/>
      <c r="AY272" s="157"/>
      <c r="AZ272" s="157"/>
      <c r="BA272" s="157"/>
      <c r="BB272" s="157"/>
      <c r="BC272" s="151"/>
      <c r="BD272" s="157"/>
      <c r="BE272" s="157"/>
      <c r="BF272" s="157"/>
      <c r="BG272" s="157"/>
      <c r="BH272" s="157"/>
      <c r="BI272" s="157"/>
      <c r="BJ272" s="353"/>
      <c r="BK272" s="353"/>
      <c r="BL272" s="353"/>
      <c r="BM272" s="14"/>
      <c r="BN272" s="14"/>
      <c r="BO272" s="14"/>
    </row>
    <row r="273" spans="1:67" ht="20.100000000000001" customHeight="1">
      <c r="A273" s="157"/>
      <c r="B273" s="1"/>
      <c r="C273" s="157"/>
      <c r="D273" s="1"/>
      <c r="E273" s="150"/>
      <c r="F273" s="150"/>
      <c r="G273" s="151"/>
      <c r="H273" s="150"/>
      <c r="I273" s="150"/>
      <c r="J273" s="151"/>
      <c r="K273" s="151"/>
      <c r="L273" s="150"/>
      <c r="M273" s="151"/>
      <c r="N273" s="151"/>
      <c r="O273" s="151"/>
      <c r="P273" s="150"/>
      <c r="Q273" s="150"/>
      <c r="R273" s="158"/>
      <c r="S273" s="158"/>
      <c r="T273" s="158"/>
      <c r="U273" s="158"/>
      <c r="V273" s="1"/>
      <c r="W273" s="1"/>
      <c r="X273" s="157"/>
      <c r="Y273" s="157"/>
      <c r="Z273" s="157"/>
      <c r="AA273" s="157"/>
      <c r="AB273" s="157"/>
      <c r="AC273" s="151"/>
      <c r="AD273" s="151"/>
      <c r="AE273" s="151"/>
      <c r="AF273" s="157"/>
      <c r="AG273" s="157"/>
      <c r="AH273" s="157"/>
      <c r="AI273" s="157"/>
      <c r="AJ273" s="157"/>
      <c r="AK273" s="157"/>
      <c r="AL273" s="157"/>
      <c r="AM273" s="157"/>
      <c r="AN273" s="159"/>
      <c r="AO273" s="159"/>
      <c r="AP273" s="160"/>
      <c r="AQ273" s="160"/>
      <c r="AR273" s="160"/>
      <c r="AS273" s="159"/>
      <c r="AT273" s="159"/>
      <c r="AU273" s="161"/>
      <c r="AV273" s="157"/>
      <c r="AW273" s="157"/>
      <c r="AX273" s="157"/>
      <c r="AY273" s="157"/>
      <c r="AZ273" s="157"/>
      <c r="BA273" s="157"/>
      <c r="BB273" s="157"/>
      <c r="BC273" s="151"/>
      <c r="BD273" s="157"/>
      <c r="BE273" s="157"/>
      <c r="BF273" s="157"/>
      <c r="BG273" s="157"/>
      <c r="BH273" s="157"/>
      <c r="BI273" s="157"/>
      <c r="BJ273" s="353"/>
      <c r="BK273" s="353"/>
      <c r="BL273" s="353"/>
      <c r="BM273" s="14"/>
      <c r="BN273" s="14"/>
      <c r="BO273" s="14"/>
    </row>
    <row r="274" spans="1:67" ht="20.100000000000001" customHeight="1">
      <c r="A274" s="157"/>
      <c r="B274" s="1"/>
      <c r="C274" s="157"/>
      <c r="D274" s="1"/>
      <c r="E274" s="150"/>
      <c r="F274" s="150"/>
      <c r="G274" s="151"/>
      <c r="H274" s="150"/>
      <c r="I274" s="150"/>
      <c r="J274" s="151"/>
      <c r="K274" s="151"/>
      <c r="L274" s="150"/>
      <c r="M274" s="151"/>
      <c r="N274" s="151"/>
      <c r="O274" s="151"/>
      <c r="P274" s="150"/>
      <c r="Q274" s="150"/>
      <c r="R274" s="158"/>
      <c r="S274" s="158"/>
      <c r="T274" s="158"/>
      <c r="U274" s="158"/>
      <c r="V274" s="1"/>
      <c r="W274" s="1"/>
      <c r="X274" s="157"/>
      <c r="Y274" s="157"/>
      <c r="Z274" s="157"/>
      <c r="AA274" s="157"/>
      <c r="AB274" s="157"/>
      <c r="AC274" s="151"/>
      <c r="AD274" s="151"/>
      <c r="AE274" s="151"/>
      <c r="AF274" s="157"/>
      <c r="AG274" s="157"/>
      <c r="AH274" s="157"/>
      <c r="AI274" s="157"/>
      <c r="AJ274" s="157"/>
      <c r="AK274" s="157"/>
      <c r="AL274" s="157"/>
      <c r="AM274" s="157"/>
      <c r="AN274" s="159"/>
      <c r="AO274" s="159"/>
      <c r="AP274" s="160"/>
      <c r="AQ274" s="160"/>
      <c r="AR274" s="160"/>
      <c r="AS274" s="159"/>
      <c r="AT274" s="159"/>
      <c r="AU274" s="161"/>
      <c r="AV274" s="157"/>
      <c r="AW274" s="157"/>
      <c r="AX274" s="157"/>
      <c r="AY274" s="157"/>
      <c r="AZ274" s="157"/>
      <c r="BA274" s="157"/>
      <c r="BB274" s="157"/>
      <c r="BC274" s="151"/>
      <c r="BD274" s="157"/>
      <c r="BE274" s="157"/>
      <c r="BF274" s="157"/>
      <c r="BG274" s="157"/>
      <c r="BH274" s="157"/>
      <c r="BI274" s="157"/>
      <c r="BJ274" s="353"/>
      <c r="BK274" s="353"/>
      <c r="BL274" s="353"/>
      <c r="BM274" s="14"/>
      <c r="BN274" s="14"/>
      <c r="BO274" s="14"/>
    </row>
    <row r="275" spans="1:67" ht="20.100000000000001" customHeight="1">
      <c r="A275" s="157"/>
      <c r="B275" s="1"/>
      <c r="C275" s="157"/>
      <c r="D275" s="1"/>
      <c r="E275" s="150"/>
      <c r="F275" s="150"/>
      <c r="G275" s="151"/>
      <c r="H275" s="150"/>
      <c r="I275" s="150"/>
      <c r="J275" s="151"/>
      <c r="K275" s="151"/>
      <c r="L275" s="150"/>
      <c r="M275" s="151"/>
      <c r="N275" s="151"/>
      <c r="O275" s="151"/>
      <c r="P275" s="150"/>
      <c r="Q275" s="150"/>
      <c r="R275" s="158"/>
      <c r="S275" s="158"/>
      <c r="T275" s="158"/>
      <c r="U275" s="158"/>
      <c r="V275" s="1"/>
      <c r="W275" s="1"/>
      <c r="X275" s="157"/>
      <c r="Y275" s="157"/>
      <c r="Z275" s="157"/>
      <c r="AA275" s="157"/>
      <c r="AB275" s="157"/>
      <c r="AC275" s="151"/>
      <c r="AD275" s="151"/>
      <c r="AE275" s="151"/>
      <c r="AF275" s="157"/>
      <c r="AG275" s="157"/>
      <c r="AH275" s="157"/>
      <c r="AI275" s="157"/>
      <c r="AJ275" s="157"/>
      <c r="AK275" s="157"/>
      <c r="AL275" s="157"/>
      <c r="AM275" s="157"/>
      <c r="AN275" s="159"/>
      <c r="AO275" s="159"/>
      <c r="AP275" s="160"/>
      <c r="AQ275" s="160"/>
      <c r="AR275" s="160"/>
      <c r="AS275" s="159"/>
      <c r="AT275" s="159"/>
      <c r="AU275" s="161"/>
      <c r="AV275" s="157"/>
      <c r="AW275" s="157"/>
      <c r="AX275" s="157"/>
      <c r="AY275" s="157"/>
      <c r="AZ275" s="157"/>
      <c r="BA275" s="157"/>
      <c r="BB275" s="157"/>
      <c r="BC275" s="151"/>
      <c r="BD275" s="157"/>
      <c r="BE275" s="157"/>
      <c r="BF275" s="157"/>
      <c r="BG275" s="157"/>
      <c r="BH275" s="157"/>
      <c r="BI275" s="157"/>
      <c r="BJ275" s="353"/>
      <c r="BK275" s="353"/>
      <c r="BL275" s="353"/>
      <c r="BM275" s="14"/>
      <c r="BN275" s="14"/>
      <c r="BO275" s="14"/>
    </row>
    <row r="276" spans="1:67" ht="20.100000000000001" customHeight="1">
      <c r="A276" s="157"/>
      <c r="B276" s="1"/>
      <c r="C276" s="157"/>
      <c r="D276" s="1"/>
      <c r="E276" s="150"/>
      <c r="F276" s="150"/>
      <c r="G276" s="151"/>
      <c r="H276" s="150"/>
      <c r="I276" s="150"/>
      <c r="J276" s="151"/>
      <c r="K276" s="151"/>
      <c r="L276" s="150"/>
      <c r="M276" s="151"/>
      <c r="N276" s="151"/>
      <c r="O276" s="151"/>
      <c r="P276" s="150"/>
      <c r="Q276" s="150"/>
      <c r="R276" s="158"/>
      <c r="S276" s="158"/>
      <c r="T276" s="158"/>
      <c r="U276" s="158"/>
      <c r="V276" s="1"/>
      <c r="W276" s="1"/>
      <c r="X276" s="157"/>
      <c r="Y276" s="157"/>
      <c r="Z276" s="157"/>
      <c r="AA276" s="157"/>
      <c r="AB276" s="157"/>
      <c r="AC276" s="151"/>
      <c r="AD276" s="151"/>
      <c r="AE276" s="151"/>
      <c r="AF276" s="157"/>
      <c r="AG276" s="157"/>
      <c r="AH276" s="157"/>
      <c r="AI276" s="157"/>
      <c r="AJ276" s="157"/>
      <c r="AK276" s="157"/>
      <c r="AL276" s="157"/>
      <c r="AM276" s="157"/>
      <c r="AN276" s="159"/>
      <c r="AO276" s="159"/>
      <c r="AP276" s="160"/>
      <c r="AQ276" s="160"/>
      <c r="AR276" s="160"/>
      <c r="AS276" s="159"/>
      <c r="AT276" s="159"/>
      <c r="AU276" s="161"/>
      <c r="AV276" s="157"/>
      <c r="AW276" s="157"/>
      <c r="AX276" s="157"/>
      <c r="AY276" s="157"/>
      <c r="AZ276" s="157"/>
      <c r="BA276" s="157"/>
      <c r="BB276" s="157"/>
      <c r="BC276" s="151"/>
      <c r="BD276" s="157"/>
      <c r="BE276" s="157"/>
      <c r="BF276" s="157"/>
      <c r="BG276" s="157"/>
      <c r="BH276" s="157"/>
      <c r="BI276" s="157"/>
      <c r="BJ276" s="353"/>
      <c r="BK276" s="353"/>
      <c r="BL276" s="353"/>
      <c r="BM276" s="14"/>
      <c r="BN276" s="14"/>
      <c r="BO276" s="14"/>
    </row>
    <row r="277" spans="1:67" ht="20.100000000000001" customHeight="1">
      <c r="A277" s="157"/>
      <c r="B277" s="1"/>
      <c r="C277" s="157"/>
      <c r="D277" s="1"/>
      <c r="E277" s="150"/>
      <c r="F277" s="150"/>
      <c r="G277" s="151"/>
      <c r="H277" s="150"/>
      <c r="I277" s="150"/>
      <c r="J277" s="151"/>
      <c r="K277" s="151"/>
      <c r="L277" s="150"/>
      <c r="M277" s="151"/>
      <c r="N277" s="151"/>
      <c r="O277" s="151"/>
      <c r="P277" s="150"/>
      <c r="Q277" s="150"/>
      <c r="R277" s="158"/>
      <c r="S277" s="158"/>
      <c r="T277" s="158"/>
      <c r="U277" s="158"/>
      <c r="V277" s="1"/>
      <c r="W277" s="1"/>
      <c r="X277" s="157"/>
      <c r="Y277" s="157"/>
      <c r="Z277" s="157"/>
      <c r="AA277" s="157"/>
      <c r="AB277" s="157"/>
      <c r="AC277" s="151"/>
      <c r="AD277" s="151"/>
      <c r="AE277" s="151"/>
      <c r="AF277" s="157"/>
      <c r="AG277" s="157"/>
      <c r="AH277" s="157"/>
      <c r="AI277" s="157"/>
      <c r="AJ277" s="157"/>
      <c r="AK277" s="157"/>
      <c r="AL277" s="157"/>
      <c r="AM277" s="157"/>
      <c r="AN277" s="159"/>
      <c r="AO277" s="159"/>
      <c r="AP277" s="160"/>
      <c r="AQ277" s="160"/>
      <c r="AR277" s="160"/>
      <c r="AS277" s="159"/>
      <c r="AT277" s="159"/>
      <c r="AU277" s="161"/>
      <c r="AV277" s="157"/>
      <c r="AW277" s="157"/>
      <c r="AX277" s="157"/>
      <c r="AY277" s="157"/>
      <c r="AZ277" s="157"/>
      <c r="BA277" s="157"/>
      <c r="BB277" s="157"/>
      <c r="BC277" s="151"/>
      <c r="BD277" s="157"/>
      <c r="BE277" s="157"/>
      <c r="BF277" s="157"/>
      <c r="BG277" s="157"/>
      <c r="BH277" s="157"/>
      <c r="BI277" s="157"/>
      <c r="BJ277" s="353"/>
      <c r="BK277" s="353"/>
      <c r="BL277" s="353"/>
      <c r="BM277" s="14"/>
      <c r="BN277" s="14"/>
      <c r="BO277" s="14"/>
    </row>
    <row r="278" spans="1:67" ht="20.100000000000001" customHeight="1">
      <c r="A278" s="157"/>
      <c r="B278" s="1"/>
      <c r="C278" s="157"/>
      <c r="D278" s="1"/>
      <c r="E278" s="150"/>
      <c r="F278" s="150"/>
      <c r="G278" s="151"/>
      <c r="H278" s="150"/>
      <c r="I278" s="150"/>
      <c r="J278" s="151"/>
      <c r="K278" s="151"/>
      <c r="L278" s="150"/>
      <c r="M278" s="151"/>
      <c r="N278" s="151"/>
      <c r="O278" s="151"/>
      <c r="P278" s="150"/>
      <c r="Q278" s="150"/>
      <c r="R278" s="158"/>
      <c r="S278" s="158"/>
      <c r="T278" s="158"/>
      <c r="U278" s="158"/>
      <c r="V278" s="1"/>
      <c r="W278" s="1"/>
      <c r="X278" s="157"/>
      <c r="Y278" s="157"/>
      <c r="Z278" s="157"/>
      <c r="AA278" s="157"/>
      <c r="AB278" s="157"/>
      <c r="AC278" s="151"/>
      <c r="AD278" s="151"/>
      <c r="AE278" s="151"/>
      <c r="AF278" s="157"/>
      <c r="AG278" s="157"/>
      <c r="AH278" s="157"/>
      <c r="AI278" s="157"/>
      <c r="AJ278" s="157"/>
      <c r="AK278" s="157"/>
      <c r="AL278" s="157"/>
      <c r="AM278" s="157"/>
      <c r="AN278" s="159"/>
      <c r="AO278" s="159"/>
      <c r="AP278" s="160"/>
      <c r="AQ278" s="160"/>
      <c r="AR278" s="160"/>
      <c r="AS278" s="159"/>
      <c r="AT278" s="159"/>
      <c r="AU278" s="161"/>
      <c r="AV278" s="157"/>
      <c r="AW278" s="157"/>
      <c r="AX278" s="157"/>
      <c r="AY278" s="157"/>
      <c r="AZ278" s="157"/>
      <c r="BA278" s="157"/>
      <c r="BB278" s="157"/>
      <c r="BC278" s="151"/>
      <c r="BD278" s="157"/>
      <c r="BE278" s="157"/>
      <c r="BF278" s="157"/>
      <c r="BG278" s="157"/>
      <c r="BH278" s="157"/>
      <c r="BI278" s="157"/>
      <c r="BJ278" s="353"/>
      <c r="BK278" s="353"/>
      <c r="BL278" s="353"/>
      <c r="BM278" s="14"/>
      <c r="BN278" s="14"/>
      <c r="BO278" s="14"/>
    </row>
    <row r="279" spans="1:67" ht="20.100000000000001" customHeight="1">
      <c r="A279" s="157"/>
      <c r="B279" s="1"/>
      <c r="C279" s="157"/>
      <c r="D279" s="1"/>
      <c r="E279" s="150"/>
      <c r="F279" s="150"/>
      <c r="G279" s="151"/>
      <c r="H279" s="150"/>
      <c r="I279" s="150"/>
      <c r="J279" s="151"/>
      <c r="K279" s="151"/>
      <c r="L279" s="150"/>
      <c r="M279" s="151"/>
      <c r="N279" s="151"/>
      <c r="O279" s="151"/>
      <c r="P279" s="150"/>
      <c r="Q279" s="150"/>
      <c r="R279" s="158"/>
      <c r="S279" s="158"/>
      <c r="T279" s="158"/>
      <c r="U279" s="158"/>
      <c r="V279" s="1"/>
      <c r="W279" s="1"/>
      <c r="X279" s="157"/>
      <c r="Y279" s="157"/>
      <c r="Z279" s="157"/>
      <c r="AA279" s="157"/>
      <c r="AB279" s="157"/>
      <c r="AC279" s="151"/>
      <c r="AD279" s="151"/>
      <c r="AE279" s="151"/>
      <c r="AF279" s="157"/>
      <c r="AG279" s="157"/>
      <c r="AH279" s="157"/>
      <c r="AI279" s="157"/>
      <c r="AJ279" s="157"/>
      <c r="AK279" s="157"/>
      <c r="AL279" s="157"/>
      <c r="AM279" s="157"/>
      <c r="AN279" s="159"/>
      <c r="AO279" s="159"/>
      <c r="AP279" s="160"/>
      <c r="AQ279" s="160"/>
      <c r="AR279" s="160"/>
      <c r="AS279" s="159"/>
      <c r="AT279" s="159"/>
      <c r="AU279" s="161"/>
      <c r="AV279" s="157"/>
      <c r="AW279" s="157"/>
      <c r="AX279" s="157"/>
      <c r="AY279" s="157"/>
      <c r="AZ279" s="157"/>
      <c r="BA279" s="157"/>
      <c r="BB279" s="157"/>
      <c r="BC279" s="151"/>
      <c r="BD279" s="157"/>
      <c r="BE279" s="157"/>
      <c r="BF279" s="157"/>
      <c r="BG279" s="157"/>
      <c r="BH279" s="157"/>
      <c r="BI279" s="157"/>
      <c r="BJ279" s="353"/>
      <c r="BK279" s="353"/>
      <c r="BL279" s="353"/>
      <c r="BM279" s="14"/>
      <c r="BN279" s="14"/>
      <c r="BO279" s="14"/>
    </row>
    <row r="280" spans="1:67" ht="20.100000000000001" customHeight="1">
      <c r="A280" s="157"/>
      <c r="B280" s="1"/>
      <c r="C280" s="157"/>
      <c r="D280" s="1"/>
      <c r="E280" s="150"/>
      <c r="F280" s="150"/>
      <c r="G280" s="151"/>
      <c r="H280" s="150"/>
      <c r="I280" s="150"/>
      <c r="J280" s="151"/>
      <c r="K280" s="151"/>
      <c r="L280" s="150"/>
      <c r="M280" s="151"/>
      <c r="N280" s="151"/>
      <c r="O280" s="151"/>
      <c r="P280" s="150"/>
      <c r="Q280" s="150"/>
      <c r="R280" s="158"/>
      <c r="S280" s="158"/>
      <c r="T280" s="158"/>
      <c r="U280" s="158"/>
      <c r="V280" s="1"/>
      <c r="W280" s="1"/>
      <c r="X280" s="157"/>
      <c r="Y280" s="157"/>
      <c r="Z280" s="157"/>
      <c r="AA280" s="157"/>
      <c r="AB280" s="157"/>
      <c r="AC280" s="151"/>
      <c r="AD280" s="151"/>
      <c r="AE280" s="151"/>
      <c r="AF280" s="157"/>
      <c r="AG280" s="157"/>
      <c r="AH280" s="157"/>
      <c r="AI280" s="157"/>
      <c r="AJ280" s="157"/>
      <c r="AK280" s="157"/>
      <c r="AL280" s="157"/>
      <c r="AM280" s="157"/>
      <c r="AN280" s="159"/>
      <c r="AO280" s="159"/>
      <c r="AP280" s="160"/>
      <c r="AQ280" s="160"/>
      <c r="AR280" s="160"/>
      <c r="AS280" s="159"/>
      <c r="AT280" s="159"/>
      <c r="AU280" s="161"/>
      <c r="AV280" s="157"/>
      <c r="AW280" s="157"/>
      <c r="AX280" s="157"/>
      <c r="AY280" s="157"/>
      <c r="AZ280" s="157"/>
      <c r="BA280" s="157"/>
      <c r="BB280" s="157"/>
      <c r="BC280" s="151"/>
      <c r="BD280" s="157"/>
      <c r="BE280" s="157"/>
      <c r="BF280" s="157"/>
      <c r="BG280" s="157"/>
      <c r="BH280" s="157"/>
      <c r="BI280" s="157"/>
      <c r="BJ280" s="353"/>
      <c r="BK280" s="353"/>
      <c r="BL280" s="353"/>
      <c r="BM280" s="14"/>
      <c r="BN280" s="14"/>
      <c r="BO280" s="14"/>
    </row>
    <row r="281" spans="1:67" ht="20.100000000000001" customHeight="1">
      <c r="A281" s="157"/>
      <c r="B281" s="1"/>
      <c r="C281" s="157"/>
      <c r="D281" s="1"/>
      <c r="E281" s="150"/>
      <c r="F281" s="150"/>
      <c r="G281" s="151"/>
      <c r="H281" s="150"/>
      <c r="I281" s="150"/>
      <c r="J281" s="151"/>
      <c r="K281" s="151"/>
      <c r="L281" s="150"/>
      <c r="M281" s="151"/>
      <c r="N281" s="151"/>
      <c r="O281" s="151"/>
      <c r="P281" s="150"/>
      <c r="Q281" s="150"/>
      <c r="R281" s="158"/>
      <c r="S281" s="158"/>
      <c r="T281" s="158"/>
      <c r="U281" s="158"/>
      <c r="V281" s="1"/>
      <c r="W281" s="1"/>
      <c r="X281" s="157"/>
      <c r="Y281" s="157"/>
      <c r="Z281" s="157"/>
      <c r="AA281" s="157"/>
      <c r="AB281" s="157"/>
      <c r="AC281" s="151"/>
      <c r="AD281" s="151"/>
      <c r="AE281" s="151"/>
      <c r="AF281" s="157"/>
      <c r="AG281" s="157"/>
      <c r="AH281" s="157"/>
      <c r="AI281" s="157"/>
      <c r="AJ281" s="157"/>
      <c r="AK281" s="157"/>
      <c r="AL281" s="157"/>
      <c r="AM281" s="157"/>
      <c r="AN281" s="159"/>
      <c r="AO281" s="159"/>
      <c r="AP281" s="160"/>
      <c r="AQ281" s="160"/>
      <c r="AR281" s="160"/>
      <c r="AS281" s="159"/>
      <c r="AT281" s="159"/>
      <c r="AU281" s="161"/>
      <c r="AV281" s="157"/>
      <c r="AW281" s="157"/>
      <c r="AX281" s="157"/>
      <c r="AY281" s="157"/>
      <c r="AZ281" s="157"/>
      <c r="BA281" s="157"/>
      <c r="BB281" s="157"/>
      <c r="BC281" s="151"/>
      <c r="BD281" s="157"/>
      <c r="BE281" s="157"/>
      <c r="BF281" s="157"/>
      <c r="BG281" s="157"/>
      <c r="BH281" s="157"/>
      <c r="BI281" s="157"/>
      <c r="BJ281" s="353"/>
      <c r="BK281" s="353"/>
      <c r="BL281" s="353"/>
      <c r="BM281" s="14"/>
      <c r="BN281" s="14"/>
      <c r="BO281" s="14"/>
    </row>
    <row r="282" spans="1:67" ht="20.100000000000001" customHeight="1">
      <c r="A282" s="157"/>
      <c r="B282" s="1"/>
      <c r="C282" s="157"/>
      <c r="D282" s="1"/>
      <c r="E282" s="150"/>
      <c r="F282" s="150"/>
      <c r="G282" s="151"/>
      <c r="H282" s="150"/>
      <c r="I282" s="150"/>
      <c r="J282" s="151"/>
      <c r="K282" s="151"/>
      <c r="L282" s="150"/>
      <c r="M282" s="151"/>
      <c r="N282" s="151"/>
      <c r="O282" s="151"/>
      <c r="P282" s="150"/>
      <c r="Q282" s="150"/>
      <c r="R282" s="158"/>
      <c r="S282" s="158"/>
      <c r="T282" s="158"/>
      <c r="U282" s="158"/>
      <c r="V282" s="1"/>
      <c r="W282" s="1"/>
      <c r="X282" s="157"/>
      <c r="Y282" s="157"/>
      <c r="Z282" s="157"/>
      <c r="AA282" s="157"/>
      <c r="AB282" s="157"/>
      <c r="AC282" s="151"/>
      <c r="AD282" s="151"/>
      <c r="AE282" s="151"/>
      <c r="AF282" s="157"/>
      <c r="AG282" s="157"/>
      <c r="AH282" s="157"/>
      <c r="AI282" s="157"/>
      <c r="AJ282" s="157"/>
      <c r="AK282" s="157"/>
      <c r="AL282" s="157"/>
      <c r="AM282" s="157"/>
      <c r="AN282" s="159"/>
      <c r="AO282" s="159"/>
      <c r="AP282" s="160"/>
      <c r="AQ282" s="160"/>
      <c r="AR282" s="160"/>
      <c r="AS282" s="159"/>
      <c r="AT282" s="159"/>
      <c r="AU282" s="161"/>
      <c r="AV282" s="157"/>
      <c r="AW282" s="157"/>
      <c r="AX282" s="157"/>
      <c r="AY282" s="157"/>
      <c r="AZ282" s="157"/>
      <c r="BA282" s="157"/>
      <c r="BB282" s="157"/>
      <c r="BC282" s="151"/>
      <c r="BD282" s="157"/>
      <c r="BE282" s="157"/>
      <c r="BF282" s="157"/>
      <c r="BG282" s="157"/>
      <c r="BH282" s="157"/>
      <c r="BI282" s="157"/>
      <c r="BJ282" s="353"/>
      <c r="BK282" s="353"/>
      <c r="BL282" s="353"/>
      <c r="BM282" s="14"/>
      <c r="BN282" s="14"/>
      <c r="BO282" s="14"/>
    </row>
    <row r="283" spans="1:67" ht="20.100000000000001" customHeight="1">
      <c r="A283" s="157"/>
      <c r="B283" s="1"/>
      <c r="C283" s="157"/>
      <c r="D283" s="1"/>
      <c r="E283" s="150"/>
      <c r="F283" s="150"/>
      <c r="G283" s="151"/>
      <c r="H283" s="150"/>
      <c r="I283" s="150"/>
      <c r="J283" s="151"/>
      <c r="K283" s="151"/>
      <c r="L283" s="150"/>
      <c r="M283" s="151"/>
      <c r="N283" s="151"/>
      <c r="O283" s="151"/>
      <c r="P283" s="150"/>
      <c r="Q283" s="150"/>
      <c r="R283" s="158"/>
      <c r="S283" s="158"/>
      <c r="T283" s="158"/>
      <c r="U283" s="158"/>
      <c r="V283" s="1"/>
      <c r="W283" s="1"/>
      <c r="X283" s="157"/>
      <c r="Y283" s="157"/>
      <c r="Z283" s="157"/>
      <c r="AA283" s="157"/>
      <c r="AB283" s="157"/>
      <c r="AC283" s="151"/>
      <c r="AD283" s="151"/>
      <c r="AE283" s="151"/>
      <c r="AF283" s="157"/>
      <c r="AG283" s="157"/>
      <c r="AH283" s="157"/>
      <c r="AI283" s="157"/>
      <c r="AJ283" s="157"/>
      <c r="AK283" s="157"/>
      <c r="AL283" s="157"/>
      <c r="AM283" s="157"/>
      <c r="AN283" s="159"/>
      <c r="AO283" s="159"/>
      <c r="AP283" s="160"/>
      <c r="AQ283" s="160"/>
      <c r="AR283" s="160"/>
      <c r="AS283" s="159"/>
      <c r="AT283" s="159"/>
      <c r="AU283" s="161"/>
      <c r="AV283" s="157"/>
      <c r="AW283" s="157"/>
      <c r="AX283" s="157"/>
      <c r="AY283" s="157"/>
      <c r="AZ283" s="157"/>
      <c r="BA283" s="157"/>
      <c r="BB283" s="157"/>
      <c r="BC283" s="151"/>
      <c r="BD283" s="157"/>
      <c r="BE283" s="157"/>
      <c r="BF283" s="157"/>
      <c r="BG283" s="157"/>
      <c r="BH283" s="157"/>
      <c r="BI283" s="157"/>
      <c r="BJ283" s="353"/>
      <c r="BK283" s="353"/>
      <c r="BL283" s="353"/>
      <c r="BM283" s="14"/>
      <c r="BN283" s="14"/>
      <c r="BO283" s="14"/>
    </row>
    <row r="284" spans="1:67" ht="20.100000000000001" customHeight="1">
      <c r="A284" s="157"/>
      <c r="B284" s="1"/>
      <c r="C284" s="157"/>
      <c r="D284" s="1"/>
      <c r="E284" s="150"/>
      <c r="F284" s="150"/>
      <c r="G284" s="151"/>
      <c r="H284" s="150"/>
      <c r="I284" s="150"/>
      <c r="J284" s="151"/>
      <c r="K284" s="151"/>
      <c r="L284" s="150"/>
      <c r="M284" s="151"/>
      <c r="N284" s="151"/>
      <c r="O284" s="151"/>
      <c r="P284" s="150"/>
      <c r="Q284" s="150"/>
      <c r="R284" s="158"/>
      <c r="S284" s="158"/>
      <c r="T284" s="158"/>
      <c r="U284" s="158"/>
      <c r="V284" s="1"/>
      <c r="W284" s="1"/>
      <c r="X284" s="157"/>
      <c r="Y284" s="157"/>
      <c r="Z284" s="157"/>
      <c r="AA284" s="157"/>
      <c r="AB284" s="157"/>
      <c r="AC284" s="151"/>
      <c r="AD284" s="151"/>
      <c r="AE284" s="151"/>
      <c r="AF284" s="157"/>
      <c r="AG284" s="157"/>
      <c r="AH284" s="157"/>
      <c r="AI284" s="157"/>
      <c r="AJ284" s="157"/>
      <c r="AK284" s="157"/>
      <c r="AL284" s="157"/>
      <c r="AM284" s="157"/>
      <c r="AN284" s="159"/>
      <c r="AO284" s="159"/>
      <c r="AP284" s="160"/>
      <c r="AQ284" s="160"/>
      <c r="AR284" s="160"/>
      <c r="AS284" s="159"/>
      <c r="AT284" s="159"/>
      <c r="AU284" s="161"/>
      <c r="AV284" s="157"/>
      <c r="AW284" s="157"/>
      <c r="AX284" s="157"/>
      <c r="AY284" s="157"/>
      <c r="AZ284" s="157"/>
      <c r="BA284" s="157"/>
      <c r="BB284" s="157"/>
      <c r="BC284" s="151"/>
      <c r="BD284" s="157"/>
      <c r="BE284" s="157"/>
      <c r="BF284" s="157"/>
      <c r="BG284" s="157"/>
      <c r="BH284" s="157"/>
      <c r="BI284" s="157"/>
      <c r="BJ284" s="353"/>
      <c r="BK284" s="353"/>
      <c r="BL284" s="353"/>
      <c r="BM284" s="14"/>
      <c r="BN284" s="14"/>
      <c r="BO284" s="14"/>
    </row>
    <row r="285" spans="1:67" ht="20.100000000000001" customHeight="1">
      <c r="A285" s="157"/>
      <c r="B285" s="1"/>
      <c r="C285" s="157"/>
      <c r="D285" s="1"/>
      <c r="E285" s="150"/>
      <c r="F285" s="150"/>
      <c r="G285" s="151"/>
      <c r="H285" s="150"/>
      <c r="I285" s="150"/>
      <c r="J285" s="151"/>
      <c r="K285" s="151"/>
      <c r="L285" s="150"/>
      <c r="M285" s="151"/>
      <c r="N285" s="151"/>
      <c r="O285" s="151"/>
      <c r="P285" s="150"/>
      <c r="Q285" s="150"/>
      <c r="R285" s="158"/>
      <c r="S285" s="158"/>
      <c r="T285" s="158"/>
      <c r="U285" s="158"/>
      <c r="V285" s="1"/>
      <c r="W285" s="1"/>
      <c r="X285" s="157"/>
      <c r="Y285" s="157"/>
      <c r="Z285" s="157"/>
      <c r="AA285" s="157"/>
      <c r="AB285" s="157"/>
      <c r="AC285" s="151"/>
      <c r="AD285" s="151"/>
      <c r="AE285" s="151"/>
      <c r="AF285" s="157"/>
      <c r="AG285" s="157"/>
      <c r="AH285" s="157"/>
      <c r="AI285" s="157"/>
      <c r="AJ285" s="157"/>
      <c r="AK285" s="157"/>
      <c r="AL285" s="157"/>
      <c r="AM285" s="157"/>
      <c r="AN285" s="159"/>
      <c r="AO285" s="159"/>
      <c r="AP285" s="160"/>
      <c r="AQ285" s="160"/>
      <c r="AR285" s="160"/>
      <c r="AS285" s="159"/>
      <c r="AT285" s="159"/>
      <c r="AU285" s="161"/>
      <c r="AV285" s="157"/>
      <c r="AW285" s="157"/>
      <c r="AX285" s="157"/>
      <c r="AY285" s="157"/>
      <c r="AZ285" s="157"/>
      <c r="BA285" s="157"/>
      <c r="BB285" s="157"/>
      <c r="BC285" s="151"/>
      <c r="BD285" s="157"/>
      <c r="BE285" s="157"/>
      <c r="BF285" s="157"/>
      <c r="BG285" s="157"/>
      <c r="BH285" s="157"/>
      <c r="BI285" s="157"/>
      <c r="BJ285" s="353"/>
      <c r="BK285" s="353"/>
      <c r="BL285" s="353"/>
      <c r="BM285" s="14"/>
      <c r="BN285" s="14"/>
      <c r="BO285" s="14"/>
    </row>
    <row r="286" spans="1:67" ht="20.100000000000001" customHeight="1">
      <c r="A286" s="157"/>
      <c r="B286" s="1"/>
      <c r="C286" s="157"/>
      <c r="D286" s="1"/>
      <c r="E286" s="150"/>
      <c r="F286" s="150"/>
      <c r="G286" s="151"/>
      <c r="H286" s="150"/>
      <c r="I286" s="150"/>
      <c r="J286" s="151"/>
      <c r="K286" s="151"/>
      <c r="L286" s="150"/>
      <c r="M286" s="151"/>
      <c r="N286" s="151"/>
      <c r="O286" s="151"/>
      <c r="P286" s="150"/>
      <c r="Q286" s="150"/>
      <c r="R286" s="158"/>
      <c r="S286" s="158"/>
      <c r="T286" s="158"/>
      <c r="U286" s="158"/>
      <c r="V286" s="1"/>
      <c r="W286" s="1"/>
      <c r="X286" s="157"/>
      <c r="Y286" s="157"/>
      <c r="Z286" s="157"/>
      <c r="AA286" s="157"/>
      <c r="AB286" s="157"/>
      <c r="AC286" s="151"/>
      <c r="AD286" s="151"/>
      <c r="AE286" s="151"/>
      <c r="AF286" s="157"/>
      <c r="AG286" s="157"/>
      <c r="AH286" s="157"/>
      <c r="AI286" s="157"/>
      <c r="AJ286" s="157"/>
      <c r="AK286" s="157"/>
      <c r="AL286" s="157"/>
      <c r="AM286" s="157"/>
      <c r="AN286" s="159"/>
      <c r="AO286" s="159"/>
      <c r="AP286" s="160"/>
      <c r="AQ286" s="160"/>
      <c r="AR286" s="160"/>
      <c r="AS286" s="159"/>
      <c r="AT286" s="159"/>
      <c r="AU286" s="161"/>
      <c r="AV286" s="157"/>
      <c r="AW286" s="157"/>
      <c r="AX286" s="157"/>
      <c r="AY286" s="157"/>
      <c r="AZ286" s="157"/>
      <c r="BA286" s="157"/>
      <c r="BB286" s="157"/>
      <c r="BC286" s="151"/>
      <c r="BD286" s="157"/>
      <c r="BE286" s="157"/>
      <c r="BF286" s="157"/>
      <c r="BG286" s="157"/>
      <c r="BH286" s="157"/>
      <c r="BI286" s="157"/>
      <c r="BJ286" s="353"/>
      <c r="BK286" s="353"/>
      <c r="BL286" s="353"/>
      <c r="BM286" s="14"/>
      <c r="BN286" s="14"/>
      <c r="BO286" s="14"/>
    </row>
    <row r="287" spans="1:67" ht="20.100000000000001" customHeight="1">
      <c r="A287" s="157"/>
      <c r="B287" s="1"/>
      <c r="C287" s="157"/>
      <c r="D287" s="1"/>
      <c r="E287" s="150"/>
      <c r="F287" s="150"/>
      <c r="G287" s="151"/>
      <c r="H287" s="150"/>
      <c r="I287" s="150"/>
      <c r="J287" s="151"/>
      <c r="K287" s="151"/>
      <c r="L287" s="150"/>
      <c r="M287" s="151"/>
      <c r="N287" s="151"/>
      <c r="O287" s="151"/>
      <c r="P287" s="150"/>
      <c r="Q287" s="150"/>
      <c r="R287" s="158"/>
      <c r="S287" s="158"/>
      <c r="T287" s="158"/>
      <c r="U287" s="158"/>
      <c r="V287" s="1"/>
      <c r="W287" s="1"/>
      <c r="X287" s="157"/>
      <c r="Y287" s="157"/>
      <c r="Z287" s="157"/>
      <c r="AA287" s="157"/>
      <c r="AB287" s="157"/>
      <c r="AC287" s="151"/>
      <c r="AD287" s="151"/>
      <c r="AE287" s="151"/>
      <c r="AF287" s="157"/>
      <c r="AG287" s="157"/>
      <c r="AH287" s="157"/>
      <c r="AI287" s="157"/>
      <c r="AJ287" s="157"/>
      <c r="AK287" s="157"/>
      <c r="AL287" s="157"/>
      <c r="AM287" s="157"/>
      <c r="AN287" s="159"/>
      <c r="AO287" s="159"/>
      <c r="AP287" s="160"/>
      <c r="AQ287" s="160"/>
      <c r="AR287" s="160"/>
      <c r="AS287" s="159"/>
      <c r="AT287" s="159"/>
      <c r="AU287" s="161"/>
      <c r="AV287" s="157"/>
      <c r="AW287" s="157"/>
      <c r="AX287" s="157"/>
      <c r="AY287" s="157"/>
      <c r="AZ287" s="157"/>
      <c r="BA287" s="157"/>
      <c r="BB287" s="157"/>
      <c r="BC287" s="151"/>
      <c r="BD287" s="157"/>
      <c r="BE287" s="157"/>
      <c r="BF287" s="157"/>
      <c r="BG287" s="157"/>
      <c r="BH287" s="157"/>
      <c r="BI287" s="157"/>
      <c r="BJ287" s="353"/>
      <c r="BK287" s="353"/>
      <c r="BL287" s="353"/>
      <c r="BM287" s="14"/>
      <c r="BN287" s="14"/>
      <c r="BO287" s="14"/>
    </row>
    <row r="288" spans="1:67" ht="20.100000000000001" customHeight="1">
      <c r="A288" s="157"/>
      <c r="B288" s="1"/>
      <c r="C288" s="157"/>
      <c r="D288" s="1"/>
      <c r="E288" s="150"/>
      <c r="F288" s="150"/>
      <c r="G288" s="151"/>
      <c r="H288" s="150"/>
      <c r="I288" s="150"/>
      <c r="J288" s="151"/>
      <c r="K288" s="151"/>
      <c r="L288" s="150"/>
      <c r="M288" s="151"/>
      <c r="N288" s="151"/>
      <c r="O288" s="151"/>
      <c r="P288" s="150"/>
      <c r="Q288" s="150"/>
      <c r="R288" s="158"/>
      <c r="S288" s="158"/>
      <c r="T288" s="158"/>
      <c r="U288" s="158"/>
      <c r="V288" s="1"/>
      <c r="W288" s="1"/>
      <c r="X288" s="157"/>
      <c r="Y288" s="157"/>
      <c r="Z288" s="157"/>
      <c r="AA288" s="157"/>
      <c r="AB288" s="157"/>
      <c r="AC288" s="151"/>
      <c r="AD288" s="151"/>
      <c r="AE288" s="151"/>
      <c r="AF288" s="157"/>
      <c r="AG288" s="157"/>
      <c r="AH288" s="157"/>
      <c r="AI288" s="157"/>
      <c r="AJ288" s="157"/>
      <c r="AK288" s="157"/>
      <c r="AL288" s="157"/>
      <c r="AM288" s="157"/>
      <c r="AN288" s="159"/>
      <c r="AO288" s="159"/>
      <c r="AP288" s="160"/>
      <c r="AQ288" s="160"/>
      <c r="AR288" s="160"/>
      <c r="AS288" s="159"/>
      <c r="AT288" s="159"/>
      <c r="AU288" s="161"/>
      <c r="AV288" s="157"/>
      <c r="AW288" s="157"/>
      <c r="AX288" s="157"/>
      <c r="AY288" s="157"/>
      <c r="AZ288" s="157"/>
      <c r="BA288" s="157"/>
      <c r="BB288" s="157"/>
      <c r="BC288" s="151"/>
      <c r="BD288" s="157"/>
      <c r="BE288" s="157"/>
      <c r="BF288" s="157"/>
      <c r="BG288" s="157"/>
      <c r="BH288" s="157"/>
      <c r="BI288" s="157"/>
      <c r="BJ288" s="353"/>
      <c r="BK288" s="353"/>
      <c r="BL288" s="353"/>
      <c r="BM288" s="14"/>
      <c r="BN288" s="14"/>
      <c r="BO288" s="14"/>
    </row>
    <row r="289" spans="1:67" ht="20.100000000000001" customHeight="1">
      <c r="A289" s="157"/>
      <c r="B289" s="1"/>
      <c r="C289" s="157"/>
      <c r="D289" s="1"/>
      <c r="E289" s="150"/>
      <c r="F289" s="150"/>
      <c r="G289" s="151"/>
      <c r="H289" s="150"/>
      <c r="I289" s="150"/>
      <c r="J289" s="151"/>
      <c r="K289" s="151"/>
      <c r="L289" s="150"/>
      <c r="M289" s="151"/>
      <c r="N289" s="151"/>
      <c r="O289" s="151"/>
      <c r="P289" s="150"/>
      <c r="Q289" s="150"/>
      <c r="R289" s="158"/>
      <c r="S289" s="158"/>
      <c r="T289" s="158"/>
      <c r="U289" s="158"/>
      <c r="V289" s="1"/>
      <c r="W289" s="1"/>
      <c r="X289" s="157"/>
      <c r="Y289" s="157"/>
      <c r="Z289" s="157"/>
      <c r="AA289" s="157"/>
      <c r="AB289" s="157"/>
      <c r="AC289" s="151"/>
      <c r="AD289" s="151"/>
      <c r="AE289" s="151"/>
      <c r="AF289" s="157"/>
      <c r="AG289" s="157"/>
      <c r="AH289" s="157"/>
      <c r="AI289" s="157"/>
      <c r="AJ289" s="157"/>
      <c r="AK289" s="157"/>
      <c r="AL289" s="157"/>
      <c r="AM289" s="157"/>
      <c r="AN289" s="159"/>
      <c r="AO289" s="159"/>
      <c r="AP289" s="160"/>
      <c r="AQ289" s="160"/>
      <c r="AR289" s="160"/>
      <c r="AS289" s="159"/>
      <c r="AT289" s="159"/>
      <c r="AU289" s="161"/>
      <c r="AV289" s="157"/>
      <c r="AW289" s="157"/>
      <c r="AX289" s="157"/>
      <c r="AY289" s="157"/>
      <c r="AZ289" s="157"/>
      <c r="BA289" s="157"/>
      <c r="BB289" s="157"/>
      <c r="BC289" s="151"/>
      <c r="BD289" s="157"/>
      <c r="BE289" s="157"/>
      <c r="BF289" s="157"/>
      <c r="BG289" s="157"/>
      <c r="BH289" s="157"/>
      <c r="BI289" s="157"/>
      <c r="BJ289" s="353"/>
      <c r="BK289" s="353"/>
      <c r="BL289" s="353"/>
      <c r="BM289" s="14"/>
      <c r="BN289" s="14"/>
      <c r="BO289" s="14"/>
    </row>
    <row r="290" spans="1:67" ht="20.100000000000001" customHeight="1">
      <c r="A290" s="157"/>
      <c r="B290" s="1"/>
      <c r="C290" s="157"/>
      <c r="D290" s="1"/>
      <c r="E290" s="150"/>
      <c r="F290" s="150"/>
      <c r="G290" s="151"/>
      <c r="H290" s="150"/>
      <c r="I290" s="150"/>
      <c r="J290" s="151"/>
      <c r="K290" s="151"/>
      <c r="L290" s="150"/>
      <c r="M290" s="151"/>
      <c r="N290" s="151"/>
      <c r="O290" s="151"/>
      <c r="P290" s="150"/>
      <c r="Q290" s="150"/>
      <c r="R290" s="158"/>
      <c r="S290" s="158"/>
      <c r="T290" s="158"/>
      <c r="U290" s="158"/>
      <c r="V290" s="1"/>
      <c r="W290" s="1"/>
      <c r="X290" s="157"/>
      <c r="Y290" s="157"/>
      <c r="Z290" s="157"/>
      <c r="AA290" s="157"/>
      <c r="AB290" s="157"/>
      <c r="AC290" s="151"/>
      <c r="AD290" s="151"/>
      <c r="AE290" s="151"/>
      <c r="AF290" s="157"/>
      <c r="AG290" s="157"/>
      <c r="AH290" s="157"/>
      <c r="AI290" s="157"/>
      <c r="AJ290" s="157"/>
      <c r="AK290" s="157"/>
      <c r="AL290" s="157"/>
      <c r="AM290" s="157"/>
      <c r="AN290" s="159"/>
      <c r="AO290" s="159"/>
      <c r="AP290" s="160"/>
      <c r="AQ290" s="160"/>
      <c r="AR290" s="160"/>
      <c r="AS290" s="159"/>
      <c r="AT290" s="159"/>
      <c r="AU290" s="161"/>
      <c r="AV290" s="157"/>
      <c r="AW290" s="157"/>
      <c r="AX290" s="157"/>
      <c r="AY290" s="157"/>
      <c r="AZ290" s="157"/>
      <c r="BA290" s="157"/>
      <c r="BB290" s="157"/>
      <c r="BC290" s="151"/>
      <c r="BD290" s="157"/>
      <c r="BE290" s="157"/>
      <c r="BF290" s="157"/>
      <c r="BG290" s="157"/>
      <c r="BH290" s="157"/>
      <c r="BI290" s="157"/>
      <c r="BJ290" s="353"/>
      <c r="BK290" s="353"/>
      <c r="BL290" s="353"/>
      <c r="BM290" s="14"/>
      <c r="BN290" s="14"/>
      <c r="BO290" s="14"/>
    </row>
    <row r="291" spans="1:67" ht="20.100000000000001" customHeight="1">
      <c r="A291" s="157"/>
      <c r="B291" s="1"/>
      <c r="C291" s="157"/>
      <c r="D291" s="1"/>
      <c r="E291" s="150"/>
      <c r="F291" s="150"/>
      <c r="G291" s="151"/>
      <c r="H291" s="150"/>
      <c r="I291" s="150"/>
      <c r="J291" s="151"/>
      <c r="K291" s="151"/>
      <c r="L291" s="150"/>
      <c r="M291" s="151"/>
      <c r="N291" s="151"/>
      <c r="O291" s="151"/>
      <c r="P291" s="150"/>
      <c r="Q291" s="150"/>
      <c r="R291" s="158"/>
      <c r="S291" s="158"/>
      <c r="T291" s="158"/>
      <c r="U291" s="158"/>
      <c r="V291" s="1"/>
      <c r="W291" s="1"/>
      <c r="X291" s="157"/>
      <c r="Y291" s="157"/>
      <c r="Z291" s="157"/>
      <c r="AA291" s="157"/>
      <c r="AB291" s="157"/>
      <c r="AC291" s="151"/>
      <c r="AD291" s="151"/>
      <c r="AE291" s="151"/>
      <c r="AF291" s="157"/>
      <c r="AG291" s="157"/>
      <c r="AH291" s="157"/>
      <c r="AI291" s="157"/>
      <c r="AJ291" s="157"/>
      <c r="AK291" s="157"/>
      <c r="AL291" s="157"/>
      <c r="AM291" s="157"/>
      <c r="AN291" s="159"/>
      <c r="AO291" s="159"/>
      <c r="AP291" s="160"/>
      <c r="AQ291" s="160"/>
      <c r="AR291" s="160"/>
      <c r="AS291" s="159"/>
      <c r="AT291" s="159"/>
      <c r="AU291" s="161"/>
      <c r="AV291" s="157"/>
      <c r="AW291" s="157"/>
      <c r="AX291" s="157"/>
      <c r="AY291" s="157"/>
      <c r="AZ291" s="157"/>
      <c r="BA291" s="157"/>
      <c r="BB291" s="157"/>
      <c r="BC291" s="151"/>
      <c r="BD291" s="157"/>
      <c r="BE291" s="157"/>
      <c r="BF291" s="157"/>
      <c r="BG291" s="157"/>
      <c r="BH291" s="157"/>
      <c r="BI291" s="157"/>
      <c r="BJ291" s="353"/>
      <c r="BK291" s="353"/>
      <c r="BL291" s="353"/>
      <c r="BM291" s="14"/>
      <c r="BN291" s="14"/>
      <c r="BO291" s="14"/>
    </row>
    <row r="292" spans="1:67" ht="20.100000000000001" customHeight="1">
      <c r="A292" s="157"/>
      <c r="B292" s="1"/>
      <c r="C292" s="157"/>
      <c r="D292" s="1"/>
      <c r="E292" s="150"/>
      <c r="F292" s="150"/>
      <c r="G292" s="151"/>
      <c r="H292" s="150"/>
      <c r="I292" s="150"/>
      <c r="J292" s="151"/>
      <c r="K292" s="151"/>
      <c r="L292" s="150"/>
      <c r="M292" s="151"/>
      <c r="N292" s="151"/>
      <c r="O292" s="151"/>
      <c r="P292" s="150"/>
      <c r="Q292" s="150"/>
      <c r="R292" s="158"/>
      <c r="S292" s="158"/>
      <c r="T292" s="158"/>
      <c r="U292" s="158"/>
      <c r="V292" s="1"/>
      <c r="W292" s="1"/>
      <c r="X292" s="157"/>
      <c r="Y292" s="157"/>
      <c r="Z292" s="157"/>
      <c r="AA292" s="157"/>
      <c r="AB292" s="157"/>
      <c r="AC292" s="151"/>
      <c r="AD292" s="151"/>
      <c r="AE292" s="151"/>
      <c r="AF292" s="157"/>
      <c r="AG292" s="157"/>
      <c r="AH292" s="157"/>
      <c r="AI292" s="157"/>
      <c r="AJ292" s="157"/>
      <c r="AK292" s="157"/>
      <c r="AL292" s="157"/>
      <c r="AM292" s="157"/>
      <c r="AN292" s="159"/>
      <c r="AO292" s="159"/>
      <c r="AP292" s="160"/>
      <c r="AQ292" s="160"/>
      <c r="AR292" s="160"/>
      <c r="AS292" s="159"/>
      <c r="AT292" s="159"/>
      <c r="AU292" s="161"/>
      <c r="AV292" s="157"/>
      <c r="AW292" s="157"/>
      <c r="AX292" s="157"/>
      <c r="AY292" s="157"/>
      <c r="AZ292" s="157"/>
      <c r="BA292" s="157"/>
      <c r="BB292" s="157"/>
      <c r="BC292" s="151"/>
      <c r="BD292" s="157"/>
      <c r="BE292" s="157"/>
      <c r="BF292" s="157"/>
      <c r="BG292" s="157"/>
      <c r="BH292" s="157"/>
      <c r="BI292" s="157"/>
      <c r="BJ292" s="353"/>
      <c r="BK292" s="353"/>
      <c r="BL292" s="353"/>
      <c r="BM292" s="14"/>
      <c r="BN292" s="14"/>
      <c r="BO292" s="14"/>
    </row>
    <row r="293" spans="1:67" ht="20.100000000000001" customHeight="1">
      <c r="A293" s="157"/>
      <c r="B293" s="1"/>
      <c r="C293" s="157"/>
      <c r="D293" s="1"/>
      <c r="E293" s="150"/>
      <c r="F293" s="150"/>
      <c r="G293" s="151"/>
      <c r="H293" s="150"/>
      <c r="I293" s="150"/>
      <c r="J293" s="151"/>
      <c r="K293" s="151"/>
      <c r="L293" s="150"/>
      <c r="M293" s="151"/>
      <c r="N293" s="151"/>
      <c r="O293" s="151"/>
      <c r="P293" s="150"/>
      <c r="Q293" s="150"/>
      <c r="R293" s="158"/>
      <c r="S293" s="158"/>
      <c r="T293" s="158"/>
      <c r="U293" s="158"/>
      <c r="V293" s="1"/>
      <c r="W293" s="1"/>
      <c r="X293" s="157"/>
      <c r="Y293" s="157"/>
      <c r="Z293" s="157"/>
      <c r="AA293" s="157"/>
      <c r="AB293" s="157"/>
      <c r="AC293" s="151"/>
      <c r="AD293" s="151"/>
      <c r="AE293" s="151"/>
      <c r="AF293" s="157"/>
      <c r="AG293" s="157"/>
      <c r="AH293" s="157"/>
      <c r="AI293" s="157"/>
      <c r="AJ293" s="157"/>
      <c r="AK293" s="157"/>
      <c r="AL293" s="157"/>
      <c r="AM293" s="157"/>
      <c r="AN293" s="159"/>
      <c r="AO293" s="159"/>
      <c r="AP293" s="160"/>
      <c r="AQ293" s="160"/>
      <c r="AR293" s="160"/>
      <c r="AS293" s="159"/>
      <c r="AT293" s="159"/>
      <c r="AU293" s="161"/>
      <c r="AV293" s="157"/>
      <c r="AW293" s="157"/>
      <c r="AX293" s="157"/>
      <c r="AY293" s="157"/>
      <c r="AZ293" s="157"/>
      <c r="BA293" s="157"/>
      <c r="BB293" s="157"/>
      <c r="BC293" s="151"/>
      <c r="BD293" s="157"/>
      <c r="BE293" s="157"/>
      <c r="BF293" s="157"/>
      <c r="BG293" s="157"/>
      <c r="BH293" s="157"/>
      <c r="BI293" s="157"/>
      <c r="BJ293" s="353"/>
      <c r="BK293" s="353"/>
      <c r="BL293" s="353"/>
      <c r="BM293" s="14"/>
      <c r="BN293" s="14"/>
      <c r="BO293" s="14"/>
    </row>
    <row r="294" spans="1:67" ht="20.100000000000001" customHeight="1">
      <c r="A294" s="157"/>
      <c r="B294" s="1"/>
      <c r="C294" s="157"/>
      <c r="D294" s="1"/>
      <c r="E294" s="150"/>
      <c r="F294" s="150"/>
      <c r="G294" s="151"/>
      <c r="H294" s="150"/>
      <c r="I294" s="150"/>
      <c r="J294" s="151"/>
      <c r="K294" s="151"/>
      <c r="L294" s="150"/>
      <c r="M294" s="151"/>
      <c r="N294" s="151"/>
      <c r="O294" s="151"/>
      <c r="P294" s="150"/>
      <c r="Q294" s="150"/>
      <c r="R294" s="158"/>
      <c r="S294" s="158"/>
      <c r="T294" s="158"/>
      <c r="U294" s="158"/>
      <c r="V294" s="1"/>
      <c r="W294" s="1"/>
      <c r="X294" s="157"/>
      <c r="Y294" s="157"/>
      <c r="Z294" s="157"/>
      <c r="AA294" s="157"/>
      <c r="AB294" s="157"/>
      <c r="AC294" s="151"/>
      <c r="AD294" s="151"/>
      <c r="AE294" s="151"/>
      <c r="AF294" s="157"/>
      <c r="AG294" s="157"/>
      <c r="AH294" s="157"/>
      <c r="AI294" s="157"/>
      <c r="AJ294" s="157"/>
      <c r="AK294" s="157"/>
      <c r="AL294" s="157"/>
      <c r="AM294" s="157"/>
      <c r="AN294" s="159"/>
      <c r="AO294" s="159"/>
      <c r="AP294" s="160"/>
      <c r="AQ294" s="160"/>
      <c r="AR294" s="160"/>
      <c r="AS294" s="159"/>
      <c r="AT294" s="159"/>
      <c r="AU294" s="161"/>
      <c r="AV294" s="157"/>
      <c r="AW294" s="157"/>
      <c r="AX294" s="157"/>
      <c r="AY294" s="157"/>
      <c r="AZ294" s="157"/>
      <c r="BA294" s="157"/>
      <c r="BB294" s="157"/>
      <c r="BC294" s="151"/>
      <c r="BD294" s="157"/>
      <c r="BE294" s="157"/>
      <c r="BF294" s="157"/>
      <c r="BG294" s="157"/>
      <c r="BH294" s="157"/>
      <c r="BI294" s="157"/>
      <c r="BJ294" s="353"/>
      <c r="BK294" s="353"/>
      <c r="BL294" s="353"/>
      <c r="BM294" s="14"/>
      <c r="BN294" s="14"/>
      <c r="BO294" s="14"/>
    </row>
    <row r="295" spans="1:67" ht="20.100000000000001" customHeight="1">
      <c r="A295" s="157"/>
      <c r="B295" s="1"/>
      <c r="C295" s="157"/>
      <c r="D295" s="1"/>
      <c r="E295" s="150"/>
      <c r="F295" s="150"/>
      <c r="G295" s="151"/>
      <c r="H295" s="150"/>
      <c r="I295" s="150"/>
      <c r="J295" s="151"/>
      <c r="K295" s="151"/>
      <c r="L295" s="150"/>
      <c r="M295" s="151"/>
      <c r="N295" s="151"/>
      <c r="O295" s="151"/>
      <c r="P295" s="150"/>
      <c r="Q295" s="150"/>
      <c r="R295" s="158"/>
      <c r="S295" s="158"/>
      <c r="T295" s="158"/>
      <c r="U295" s="158"/>
      <c r="V295" s="1"/>
      <c r="W295" s="1"/>
      <c r="X295" s="157"/>
      <c r="Y295" s="157"/>
      <c r="Z295" s="157"/>
      <c r="AA295" s="157"/>
      <c r="AB295" s="157"/>
      <c r="AC295" s="151"/>
      <c r="AD295" s="151"/>
      <c r="AE295" s="151"/>
      <c r="AF295" s="157"/>
      <c r="AG295" s="157"/>
      <c r="AH295" s="157"/>
      <c r="AI295" s="157"/>
      <c r="AJ295" s="157"/>
      <c r="AK295" s="157"/>
      <c r="AL295" s="157"/>
      <c r="AM295" s="157"/>
      <c r="AN295" s="159"/>
      <c r="AO295" s="159"/>
      <c r="AP295" s="160"/>
      <c r="AQ295" s="160"/>
      <c r="AR295" s="160"/>
      <c r="AS295" s="159"/>
      <c r="AT295" s="159"/>
      <c r="AU295" s="161"/>
      <c r="AV295" s="157"/>
      <c r="AW295" s="157"/>
      <c r="AX295" s="157"/>
      <c r="AY295" s="157"/>
      <c r="AZ295" s="157"/>
      <c r="BA295" s="157"/>
      <c r="BB295" s="157"/>
      <c r="BC295" s="151"/>
      <c r="BD295" s="157"/>
      <c r="BE295" s="157"/>
      <c r="BF295" s="157"/>
      <c r="BG295" s="157"/>
      <c r="BH295" s="157"/>
      <c r="BI295" s="157"/>
      <c r="BJ295" s="353"/>
      <c r="BK295" s="353"/>
      <c r="BL295" s="353"/>
      <c r="BM295" s="14"/>
      <c r="BN295" s="14"/>
      <c r="BO295" s="14"/>
    </row>
    <row r="296" spans="1:67" ht="20.100000000000001" customHeight="1">
      <c r="A296" s="157"/>
      <c r="B296" s="1"/>
      <c r="C296" s="157"/>
      <c r="D296" s="1"/>
      <c r="E296" s="150"/>
      <c r="F296" s="150"/>
      <c r="G296" s="151"/>
      <c r="H296" s="150"/>
      <c r="I296" s="150"/>
      <c r="J296" s="151"/>
      <c r="K296" s="151"/>
      <c r="L296" s="150"/>
      <c r="M296" s="151"/>
      <c r="N296" s="151"/>
      <c r="O296" s="151"/>
      <c r="P296" s="150"/>
      <c r="Q296" s="150"/>
      <c r="R296" s="158"/>
      <c r="S296" s="158"/>
      <c r="T296" s="158"/>
      <c r="U296" s="158"/>
      <c r="V296" s="1"/>
      <c r="W296" s="1"/>
      <c r="X296" s="157"/>
      <c r="Y296" s="157"/>
      <c r="Z296" s="157"/>
      <c r="AA296" s="157"/>
      <c r="AB296" s="157"/>
      <c r="AC296" s="151"/>
      <c r="AD296" s="151"/>
      <c r="AE296" s="151"/>
      <c r="AF296" s="157"/>
      <c r="AG296" s="157"/>
      <c r="AH296" s="157"/>
      <c r="AI296" s="157"/>
      <c r="AJ296" s="157"/>
      <c r="AK296" s="157"/>
      <c r="AL296" s="157"/>
      <c r="AM296" s="157"/>
      <c r="AN296" s="159"/>
      <c r="AO296" s="159"/>
      <c r="AP296" s="160"/>
      <c r="AQ296" s="160"/>
      <c r="AR296" s="160"/>
      <c r="AS296" s="159"/>
      <c r="AT296" s="159"/>
      <c r="AU296" s="161"/>
      <c r="AV296" s="157"/>
      <c r="AW296" s="157"/>
      <c r="AX296" s="157"/>
      <c r="AY296" s="157"/>
      <c r="AZ296" s="157"/>
      <c r="BA296" s="157"/>
      <c r="BB296" s="157"/>
      <c r="BC296" s="151"/>
      <c r="BD296" s="157"/>
      <c r="BE296" s="157"/>
      <c r="BF296" s="157"/>
      <c r="BG296" s="157"/>
      <c r="BH296" s="157"/>
      <c r="BI296" s="157"/>
      <c r="BJ296" s="353"/>
      <c r="BK296" s="353"/>
      <c r="BL296" s="353"/>
      <c r="BM296" s="14"/>
      <c r="BN296" s="14"/>
      <c r="BO296" s="14"/>
    </row>
    <row r="297" spans="1:67" ht="20.100000000000001" customHeight="1">
      <c r="A297" s="157"/>
      <c r="B297" s="1"/>
      <c r="C297" s="157"/>
      <c r="D297" s="1"/>
      <c r="E297" s="150"/>
      <c r="F297" s="150"/>
      <c r="G297" s="151"/>
      <c r="H297" s="150"/>
      <c r="I297" s="150"/>
      <c r="J297" s="151"/>
      <c r="K297" s="151"/>
      <c r="L297" s="150"/>
      <c r="M297" s="151"/>
      <c r="N297" s="151"/>
      <c r="O297" s="151"/>
      <c r="P297" s="150"/>
      <c r="Q297" s="150"/>
      <c r="R297" s="158"/>
      <c r="S297" s="158"/>
      <c r="T297" s="158"/>
      <c r="U297" s="158"/>
      <c r="V297" s="1"/>
      <c r="W297" s="1"/>
      <c r="X297" s="157"/>
      <c r="Y297" s="157"/>
      <c r="Z297" s="157"/>
      <c r="AA297" s="157"/>
      <c r="AB297" s="157"/>
      <c r="AC297" s="151"/>
      <c r="AD297" s="151"/>
      <c r="AE297" s="151"/>
      <c r="AF297" s="157"/>
      <c r="AG297" s="157"/>
      <c r="AH297" s="157"/>
      <c r="AI297" s="157"/>
      <c r="AJ297" s="157"/>
      <c r="AK297" s="157"/>
      <c r="AL297" s="157"/>
      <c r="AM297" s="157"/>
      <c r="AN297" s="159"/>
      <c r="AO297" s="159"/>
      <c r="AP297" s="160"/>
      <c r="AQ297" s="160"/>
      <c r="AR297" s="160"/>
      <c r="AS297" s="159"/>
      <c r="AT297" s="159"/>
      <c r="AU297" s="161"/>
      <c r="AV297" s="157"/>
      <c r="AW297" s="157"/>
      <c r="AX297" s="157"/>
      <c r="AY297" s="157"/>
      <c r="AZ297" s="157"/>
      <c r="BA297" s="157"/>
      <c r="BB297" s="157"/>
      <c r="BC297" s="151"/>
      <c r="BD297" s="157"/>
      <c r="BE297" s="157"/>
      <c r="BF297" s="157"/>
      <c r="BG297" s="157"/>
      <c r="BH297" s="157"/>
      <c r="BI297" s="157"/>
      <c r="BJ297" s="353"/>
      <c r="BK297" s="353"/>
      <c r="BL297" s="353"/>
      <c r="BM297" s="14"/>
      <c r="BN297" s="14"/>
      <c r="BO297" s="14"/>
    </row>
    <row r="298" spans="1:67" ht="20.100000000000001" customHeight="1">
      <c r="A298" s="157"/>
      <c r="B298" s="1"/>
      <c r="C298" s="157"/>
      <c r="D298" s="1"/>
      <c r="E298" s="150"/>
      <c r="F298" s="150"/>
      <c r="G298" s="151"/>
      <c r="H298" s="150"/>
      <c r="I298" s="150"/>
      <c r="J298" s="151"/>
      <c r="K298" s="151"/>
      <c r="L298" s="150"/>
      <c r="M298" s="151"/>
      <c r="N298" s="151"/>
      <c r="O298" s="151"/>
      <c r="P298" s="150"/>
      <c r="Q298" s="150"/>
      <c r="R298" s="158"/>
      <c r="S298" s="158"/>
      <c r="T298" s="158"/>
      <c r="U298" s="158"/>
      <c r="V298" s="1"/>
      <c r="W298" s="1"/>
      <c r="X298" s="157"/>
      <c r="Y298" s="157"/>
      <c r="Z298" s="157"/>
      <c r="AA298" s="157"/>
      <c r="AB298" s="157"/>
      <c r="AC298" s="151"/>
      <c r="AD298" s="151"/>
      <c r="AE298" s="151"/>
      <c r="AF298" s="157"/>
      <c r="AG298" s="157"/>
      <c r="AH298" s="157"/>
      <c r="AI298" s="157"/>
      <c r="AJ298" s="157"/>
      <c r="AK298" s="157"/>
      <c r="AL298" s="157"/>
      <c r="AM298" s="157"/>
      <c r="AN298" s="159"/>
      <c r="AO298" s="159"/>
      <c r="AP298" s="160"/>
      <c r="AQ298" s="160"/>
      <c r="AR298" s="160"/>
      <c r="AS298" s="159"/>
      <c r="AT298" s="159"/>
      <c r="AU298" s="161"/>
      <c r="AV298" s="157"/>
      <c r="AW298" s="157"/>
      <c r="AX298" s="157"/>
      <c r="AY298" s="157"/>
      <c r="AZ298" s="157"/>
      <c r="BA298" s="157"/>
      <c r="BB298" s="157"/>
      <c r="BC298" s="151"/>
      <c r="BD298" s="157"/>
      <c r="BE298" s="157"/>
      <c r="BF298" s="157"/>
      <c r="BG298" s="157"/>
      <c r="BH298" s="157"/>
      <c r="BI298" s="157"/>
      <c r="BJ298" s="353"/>
      <c r="BK298" s="353"/>
      <c r="BL298" s="353"/>
      <c r="BM298" s="14"/>
      <c r="BN298" s="14"/>
      <c r="BO298" s="14"/>
    </row>
    <row r="299" spans="1:67" ht="20.100000000000001" customHeight="1">
      <c r="A299" s="157"/>
      <c r="B299" s="1"/>
      <c r="C299" s="157"/>
      <c r="D299" s="1"/>
      <c r="E299" s="150"/>
      <c r="F299" s="150"/>
      <c r="G299" s="151"/>
      <c r="H299" s="150"/>
      <c r="I299" s="150"/>
      <c r="J299" s="151"/>
      <c r="K299" s="151"/>
      <c r="L299" s="150"/>
      <c r="M299" s="151"/>
      <c r="N299" s="151"/>
      <c r="O299" s="151"/>
      <c r="P299" s="150"/>
      <c r="Q299" s="150"/>
      <c r="R299" s="158"/>
      <c r="S299" s="158"/>
      <c r="T299" s="158"/>
      <c r="U299" s="158"/>
      <c r="V299" s="1"/>
      <c r="W299" s="1"/>
      <c r="X299" s="157"/>
      <c r="Y299" s="157"/>
      <c r="Z299" s="157"/>
      <c r="AA299" s="157"/>
      <c r="AB299" s="157"/>
      <c r="AC299" s="151"/>
      <c r="AD299" s="151"/>
      <c r="AE299" s="151"/>
      <c r="AF299" s="157"/>
      <c r="AG299" s="157"/>
      <c r="AH299" s="157"/>
      <c r="AI299" s="157"/>
      <c r="AJ299" s="157"/>
      <c r="AK299" s="157"/>
      <c r="AL299" s="157"/>
      <c r="AM299" s="157"/>
      <c r="AN299" s="159"/>
      <c r="AO299" s="159"/>
      <c r="AP299" s="160"/>
      <c r="AQ299" s="160"/>
      <c r="AR299" s="160"/>
      <c r="AS299" s="159"/>
      <c r="AT299" s="159"/>
      <c r="AU299" s="161"/>
      <c r="AV299" s="157"/>
      <c r="AW299" s="157"/>
      <c r="AX299" s="157"/>
      <c r="AY299" s="157"/>
      <c r="AZ299" s="157"/>
      <c r="BA299" s="157"/>
      <c r="BB299" s="157"/>
      <c r="BC299" s="151"/>
      <c r="BD299" s="157"/>
      <c r="BE299" s="157"/>
      <c r="BF299" s="157"/>
      <c r="BG299" s="157"/>
      <c r="BH299" s="157"/>
      <c r="BI299" s="157"/>
      <c r="BJ299" s="353"/>
      <c r="BK299" s="353"/>
      <c r="BL299" s="353"/>
      <c r="BM299" s="14"/>
      <c r="BN299" s="14"/>
      <c r="BO299" s="14"/>
    </row>
    <row r="300" spans="1:67" ht="20.100000000000001" customHeight="1">
      <c r="A300" s="157"/>
      <c r="B300" s="1"/>
      <c r="C300" s="157"/>
      <c r="D300" s="1"/>
      <c r="E300" s="150"/>
      <c r="F300" s="150"/>
      <c r="G300" s="151"/>
      <c r="H300" s="150"/>
      <c r="I300" s="150"/>
      <c r="J300" s="151"/>
      <c r="K300" s="151"/>
      <c r="L300" s="150"/>
      <c r="M300" s="151"/>
      <c r="N300" s="151"/>
      <c r="O300" s="151"/>
      <c r="P300" s="150"/>
      <c r="Q300" s="150"/>
      <c r="R300" s="158"/>
      <c r="S300" s="158"/>
      <c r="T300" s="158"/>
      <c r="U300" s="158"/>
      <c r="V300" s="1"/>
      <c r="W300" s="1"/>
      <c r="X300" s="157"/>
      <c r="Y300" s="157"/>
      <c r="Z300" s="157"/>
      <c r="AA300" s="157"/>
      <c r="AB300" s="157"/>
      <c r="AC300" s="151"/>
      <c r="AD300" s="151"/>
      <c r="AE300" s="151"/>
      <c r="AF300" s="157"/>
      <c r="AG300" s="157"/>
      <c r="AH300" s="157"/>
      <c r="AI300" s="157"/>
      <c r="AJ300" s="157"/>
      <c r="AK300" s="157"/>
      <c r="AL300" s="157"/>
      <c r="AM300" s="157"/>
      <c r="AN300" s="159"/>
      <c r="AO300" s="159"/>
      <c r="AP300" s="160"/>
      <c r="AQ300" s="160"/>
      <c r="AR300" s="160"/>
      <c r="AS300" s="159"/>
      <c r="AT300" s="159"/>
      <c r="AU300" s="161"/>
      <c r="AV300" s="157"/>
      <c r="AW300" s="157"/>
      <c r="AX300" s="157"/>
      <c r="AY300" s="157"/>
      <c r="AZ300" s="157"/>
      <c r="BA300" s="157"/>
      <c r="BB300" s="157"/>
      <c r="BC300" s="151"/>
      <c r="BD300" s="157"/>
      <c r="BE300" s="157"/>
      <c r="BF300" s="157"/>
      <c r="BG300" s="157"/>
      <c r="BH300" s="157"/>
      <c r="BI300" s="157"/>
      <c r="BJ300" s="353"/>
      <c r="BK300" s="353"/>
      <c r="BL300" s="353"/>
      <c r="BM300" s="14"/>
      <c r="BN300" s="14"/>
      <c r="BO300" s="14"/>
    </row>
    <row r="301" spans="1:67" ht="20.100000000000001" customHeight="1">
      <c r="A301" s="157"/>
      <c r="B301" s="1"/>
      <c r="C301" s="157"/>
      <c r="D301" s="1"/>
      <c r="E301" s="150"/>
      <c r="F301" s="150"/>
      <c r="G301" s="151"/>
      <c r="H301" s="150"/>
      <c r="I301" s="150"/>
      <c r="J301" s="151"/>
      <c r="K301" s="151"/>
      <c r="L301" s="150"/>
      <c r="M301" s="151"/>
      <c r="N301" s="151"/>
      <c r="O301" s="151"/>
      <c r="P301" s="150"/>
      <c r="Q301" s="150"/>
      <c r="R301" s="158"/>
      <c r="S301" s="158"/>
      <c r="T301" s="158"/>
      <c r="U301" s="158"/>
      <c r="V301" s="1"/>
      <c r="W301" s="1"/>
      <c r="X301" s="157"/>
      <c r="Y301" s="157"/>
      <c r="Z301" s="157"/>
      <c r="AA301" s="157"/>
      <c r="AB301" s="157"/>
      <c r="AC301" s="151"/>
      <c r="AD301" s="151"/>
      <c r="AE301" s="151"/>
      <c r="AF301" s="157"/>
      <c r="AG301" s="157"/>
      <c r="AH301" s="157"/>
      <c r="AI301" s="157"/>
      <c r="AJ301" s="157"/>
      <c r="AK301" s="157"/>
      <c r="AL301" s="157"/>
      <c r="AM301" s="157"/>
      <c r="AN301" s="159"/>
      <c r="AO301" s="159"/>
      <c r="AP301" s="160"/>
      <c r="AQ301" s="160"/>
      <c r="AR301" s="160"/>
      <c r="AS301" s="159"/>
      <c r="AT301" s="159"/>
      <c r="AU301" s="161"/>
      <c r="AV301" s="157"/>
      <c r="AW301" s="157"/>
      <c r="AX301" s="157"/>
      <c r="AY301" s="157"/>
      <c r="AZ301" s="157"/>
      <c r="BA301" s="157"/>
      <c r="BB301" s="157"/>
      <c r="BC301" s="151"/>
      <c r="BD301" s="157"/>
      <c r="BE301" s="157"/>
      <c r="BF301" s="157"/>
      <c r="BG301" s="157"/>
      <c r="BH301" s="157"/>
      <c r="BI301" s="157"/>
      <c r="BJ301" s="353"/>
      <c r="BK301" s="353"/>
      <c r="BL301" s="353"/>
      <c r="BM301" s="14"/>
      <c r="BN301" s="14"/>
      <c r="BO301" s="14"/>
    </row>
    <row r="302" spans="1:67" ht="20.100000000000001" customHeight="1">
      <c r="A302" s="157"/>
      <c r="B302" s="1"/>
      <c r="C302" s="157"/>
      <c r="D302" s="1"/>
      <c r="E302" s="150"/>
      <c r="F302" s="150"/>
      <c r="G302" s="151"/>
      <c r="H302" s="150"/>
      <c r="I302" s="150"/>
      <c r="J302" s="151"/>
      <c r="K302" s="151"/>
      <c r="L302" s="150"/>
      <c r="M302" s="151"/>
      <c r="N302" s="151"/>
      <c r="O302" s="151"/>
      <c r="P302" s="150"/>
      <c r="Q302" s="150"/>
      <c r="R302" s="158"/>
      <c r="S302" s="158"/>
      <c r="T302" s="158"/>
      <c r="U302" s="158"/>
      <c r="V302" s="1"/>
      <c r="W302" s="1"/>
      <c r="X302" s="157"/>
      <c r="Y302" s="157"/>
      <c r="Z302" s="157"/>
      <c r="AA302" s="157"/>
      <c r="AB302" s="157"/>
      <c r="AC302" s="151"/>
      <c r="AD302" s="151"/>
      <c r="AE302" s="151"/>
      <c r="AF302" s="157"/>
      <c r="AG302" s="157"/>
      <c r="AH302" s="157"/>
      <c r="AI302" s="157"/>
      <c r="AJ302" s="157"/>
      <c r="AK302" s="157"/>
      <c r="AL302" s="157"/>
      <c r="AM302" s="157"/>
      <c r="AN302" s="159"/>
      <c r="AO302" s="159"/>
      <c r="AP302" s="160"/>
      <c r="AQ302" s="160"/>
      <c r="AR302" s="160"/>
      <c r="AS302" s="159"/>
      <c r="AT302" s="159"/>
      <c r="AU302" s="161"/>
      <c r="AV302" s="157"/>
      <c r="AW302" s="157"/>
      <c r="AX302" s="157"/>
      <c r="AY302" s="157"/>
      <c r="AZ302" s="157"/>
      <c r="BA302" s="157"/>
      <c r="BB302" s="157"/>
      <c r="BC302" s="151"/>
      <c r="BD302" s="157"/>
      <c r="BE302" s="157"/>
      <c r="BF302" s="157"/>
      <c r="BG302" s="157"/>
      <c r="BH302" s="157"/>
      <c r="BI302" s="157"/>
      <c r="BJ302" s="353"/>
      <c r="BK302" s="353"/>
      <c r="BL302" s="353"/>
      <c r="BM302" s="14"/>
      <c r="BN302" s="14"/>
      <c r="BO302" s="14"/>
    </row>
    <row r="303" spans="1:67" ht="20.100000000000001" customHeight="1">
      <c r="A303" s="157"/>
      <c r="B303" s="1"/>
      <c r="C303" s="157"/>
      <c r="D303" s="1"/>
      <c r="E303" s="150"/>
      <c r="F303" s="150"/>
      <c r="G303" s="151"/>
      <c r="H303" s="150"/>
      <c r="I303" s="150"/>
      <c r="J303" s="151"/>
      <c r="K303" s="151"/>
      <c r="L303" s="150"/>
      <c r="M303" s="151"/>
      <c r="N303" s="151"/>
      <c r="O303" s="151"/>
      <c r="P303" s="150"/>
      <c r="Q303" s="150"/>
      <c r="R303" s="158"/>
      <c r="S303" s="158"/>
      <c r="T303" s="158"/>
      <c r="U303" s="158"/>
      <c r="V303" s="1"/>
      <c r="W303" s="1"/>
      <c r="X303" s="157"/>
      <c r="Y303" s="157"/>
      <c r="Z303" s="157"/>
      <c r="AA303" s="157"/>
      <c r="AB303" s="157"/>
      <c r="AC303" s="151"/>
      <c r="AD303" s="151"/>
      <c r="AE303" s="151"/>
      <c r="AF303" s="157"/>
      <c r="AG303" s="157"/>
      <c r="AH303" s="157"/>
      <c r="AI303" s="157"/>
      <c r="AJ303" s="157"/>
      <c r="AK303" s="157"/>
      <c r="AL303" s="157"/>
      <c r="AM303" s="157"/>
      <c r="AN303" s="159"/>
      <c r="AO303" s="159"/>
      <c r="AP303" s="160"/>
      <c r="AQ303" s="160"/>
      <c r="AR303" s="160"/>
      <c r="AS303" s="159"/>
      <c r="AT303" s="159"/>
      <c r="AU303" s="161"/>
      <c r="AV303" s="157"/>
      <c r="AW303" s="157"/>
      <c r="AX303" s="157"/>
      <c r="AY303" s="157"/>
      <c r="AZ303" s="157"/>
      <c r="BA303" s="157"/>
      <c r="BB303" s="157"/>
      <c r="BC303" s="151"/>
      <c r="BD303" s="157"/>
      <c r="BE303" s="157"/>
      <c r="BF303" s="157"/>
      <c r="BG303" s="157"/>
      <c r="BH303" s="157"/>
      <c r="BI303" s="157"/>
      <c r="BJ303" s="353"/>
      <c r="BK303" s="353"/>
      <c r="BL303" s="353"/>
      <c r="BM303" s="14"/>
      <c r="BN303" s="14"/>
      <c r="BO303" s="14"/>
    </row>
    <row r="304" spans="1:67" ht="20.100000000000001" customHeight="1">
      <c r="A304" s="157"/>
      <c r="B304" s="1"/>
      <c r="C304" s="157"/>
      <c r="D304" s="1"/>
      <c r="E304" s="150"/>
      <c r="F304" s="150"/>
      <c r="G304" s="151"/>
      <c r="H304" s="150"/>
      <c r="I304" s="150"/>
      <c r="J304" s="151"/>
      <c r="K304" s="151"/>
      <c r="L304" s="150"/>
      <c r="M304" s="151"/>
      <c r="N304" s="151"/>
      <c r="O304" s="151"/>
      <c r="P304" s="150"/>
      <c r="Q304" s="150"/>
      <c r="R304" s="158"/>
      <c r="S304" s="158"/>
      <c r="T304" s="158"/>
      <c r="U304" s="158"/>
      <c r="V304" s="1"/>
      <c r="W304" s="1"/>
      <c r="X304" s="157"/>
      <c r="Y304" s="157"/>
      <c r="Z304" s="157"/>
      <c r="AA304" s="157"/>
      <c r="AB304" s="157"/>
      <c r="AC304" s="151"/>
      <c r="AD304" s="151"/>
      <c r="AE304" s="151"/>
      <c r="AF304" s="157"/>
      <c r="AG304" s="157"/>
      <c r="AH304" s="157"/>
      <c r="AI304" s="157"/>
      <c r="AJ304" s="157"/>
      <c r="AK304" s="157"/>
      <c r="AL304" s="157"/>
      <c r="AM304" s="157"/>
      <c r="AN304" s="159"/>
      <c r="AO304" s="159"/>
      <c r="AP304" s="160"/>
      <c r="AQ304" s="160"/>
      <c r="AR304" s="160"/>
      <c r="AS304" s="159"/>
      <c r="AT304" s="159"/>
      <c r="AU304" s="161"/>
      <c r="AV304" s="157"/>
      <c r="AW304" s="157"/>
      <c r="AX304" s="157"/>
      <c r="AY304" s="157"/>
      <c r="AZ304" s="157"/>
      <c r="BA304" s="157"/>
      <c r="BB304" s="157"/>
      <c r="BC304" s="151"/>
      <c r="BD304" s="157"/>
      <c r="BE304" s="157"/>
      <c r="BF304" s="157"/>
      <c r="BG304" s="157"/>
      <c r="BH304" s="157"/>
      <c r="BI304" s="157"/>
      <c r="BJ304" s="353"/>
      <c r="BK304" s="353"/>
      <c r="BL304" s="353"/>
      <c r="BM304" s="14"/>
      <c r="BN304" s="14"/>
      <c r="BO304" s="14"/>
    </row>
    <row r="305" spans="1:67" ht="20.100000000000001" customHeight="1">
      <c r="A305" s="157"/>
      <c r="B305" s="1"/>
      <c r="C305" s="157"/>
      <c r="D305" s="1"/>
      <c r="E305" s="150"/>
      <c r="F305" s="150"/>
      <c r="G305" s="151"/>
      <c r="H305" s="150"/>
      <c r="I305" s="150"/>
      <c r="J305" s="151"/>
      <c r="K305" s="151"/>
      <c r="L305" s="150"/>
      <c r="M305" s="151"/>
      <c r="N305" s="151"/>
      <c r="O305" s="151"/>
      <c r="P305" s="150"/>
      <c r="Q305" s="150"/>
      <c r="R305" s="158"/>
      <c r="S305" s="158"/>
      <c r="T305" s="158"/>
      <c r="U305" s="158"/>
      <c r="V305" s="1"/>
      <c r="W305" s="1"/>
      <c r="X305" s="157"/>
      <c r="Y305" s="157"/>
      <c r="Z305" s="157"/>
      <c r="AA305" s="157"/>
      <c r="AB305" s="157"/>
      <c r="AC305" s="151"/>
      <c r="AD305" s="151"/>
      <c r="AE305" s="151"/>
      <c r="AF305" s="157"/>
      <c r="AG305" s="157"/>
      <c r="AH305" s="157"/>
      <c r="AI305" s="157"/>
      <c r="AJ305" s="157"/>
      <c r="AK305" s="157"/>
      <c r="AL305" s="157"/>
      <c r="AM305" s="157"/>
      <c r="AN305" s="159"/>
      <c r="AO305" s="159"/>
      <c r="AP305" s="160"/>
      <c r="AQ305" s="160"/>
      <c r="AR305" s="160"/>
      <c r="AS305" s="159"/>
      <c r="AT305" s="159"/>
      <c r="AU305" s="161"/>
      <c r="AV305" s="157"/>
      <c r="AW305" s="157"/>
      <c r="AX305" s="157"/>
      <c r="AY305" s="157"/>
      <c r="AZ305" s="157"/>
      <c r="BA305" s="157"/>
      <c r="BB305" s="157"/>
      <c r="BC305" s="151"/>
      <c r="BD305" s="157"/>
      <c r="BE305" s="157"/>
      <c r="BF305" s="157"/>
      <c r="BG305" s="157"/>
      <c r="BH305" s="157"/>
      <c r="BI305" s="157"/>
      <c r="BJ305" s="353"/>
      <c r="BK305" s="353"/>
      <c r="BL305" s="353"/>
      <c r="BM305" s="14"/>
      <c r="BN305" s="14"/>
      <c r="BO305" s="14"/>
    </row>
    <row r="306" spans="1:67" ht="20.100000000000001" customHeight="1">
      <c r="A306" s="157"/>
      <c r="B306" s="1"/>
      <c r="C306" s="157"/>
      <c r="D306" s="1"/>
      <c r="E306" s="150"/>
      <c r="F306" s="150"/>
      <c r="G306" s="151"/>
      <c r="H306" s="150"/>
      <c r="I306" s="150"/>
      <c r="J306" s="151"/>
      <c r="K306" s="151"/>
      <c r="L306" s="150"/>
      <c r="M306" s="151"/>
      <c r="N306" s="151"/>
      <c r="O306" s="151"/>
      <c r="P306" s="150"/>
      <c r="Q306" s="150"/>
      <c r="R306" s="158"/>
      <c r="S306" s="158"/>
      <c r="T306" s="158"/>
      <c r="U306" s="158"/>
      <c r="V306" s="1"/>
      <c r="W306" s="1"/>
      <c r="X306" s="157"/>
      <c r="Y306" s="157"/>
      <c r="Z306" s="157"/>
      <c r="AA306" s="157"/>
      <c r="AB306" s="157"/>
      <c r="AC306" s="151"/>
      <c r="AD306" s="151"/>
      <c r="AE306" s="151"/>
      <c r="AF306" s="157"/>
      <c r="AG306" s="157"/>
      <c r="AH306" s="157"/>
      <c r="AI306" s="157"/>
      <c r="AJ306" s="157"/>
      <c r="AK306" s="157"/>
      <c r="AL306" s="157"/>
      <c r="AM306" s="157"/>
      <c r="AN306" s="159"/>
      <c r="AO306" s="159"/>
      <c r="AP306" s="160"/>
      <c r="AQ306" s="160"/>
      <c r="AR306" s="160"/>
      <c r="AS306" s="159"/>
      <c r="AT306" s="159"/>
      <c r="AU306" s="161"/>
      <c r="AV306" s="157"/>
      <c r="AW306" s="157"/>
      <c r="AX306" s="157"/>
      <c r="AY306" s="157"/>
      <c r="AZ306" s="157"/>
      <c r="BA306" s="157"/>
      <c r="BB306" s="157"/>
      <c r="BC306" s="151"/>
      <c r="BD306" s="157"/>
      <c r="BE306" s="157"/>
      <c r="BF306" s="157"/>
      <c r="BG306" s="157"/>
      <c r="BH306" s="157"/>
      <c r="BI306" s="157"/>
      <c r="BJ306" s="353"/>
      <c r="BK306" s="353"/>
      <c r="BL306" s="353"/>
      <c r="BM306" s="14"/>
      <c r="BN306" s="14"/>
      <c r="BO306" s="14"/>
    </row>
    <row r="307" spans="1:67" ht="20.100000000000001" customHeight="1">
      <c r="A307" s="157"/>
      <c r="B307" s="1"/>
      <c r="C307" s="157"/>
      <c r="D307" s="1"/>
      <c r="E307" s="150"/>
      <c r="F307" s="150"/>
      <c r="G307" s="151"/>
      <c r="H307" s="150"/>
      <c r="I307" s="150"/>
      <c r="J307" s="151"/>
      <c r="K307" s="151"/>
      <c r="L307" s="150"/>
      <c r="M307" s="151"/>
      <c r="N307" s="151"/>
      <c r="O307" s="151"/>
      <c r="P307" s="150"/>
      <c r="Q307" s="150"/>
      <c r="R307" s="158"/>
      <c r="S307" s="158"/>
      <c r="T307" s="158"/>
      <c r="U307" s="158"/>
      <c r="V307" s="1"/>
      <c r="W307" s="1"/>
      <c r="X307" s="157"/>
      <c r="Y307" s="157"/>
      <c r="Z307" s="157"/>
      <c r="AA307" s="157"/>
      <c r="AB307" s="157"/>
      <c r="AC307" s="151"/>
      <c r="AD307" s="151"/>
      <c r="AE307" s="151"/>
      <c r="AF307" s="157"/>
      <c r="AG307" s="157"/>
      <c r="AH307" s="157"/>
      <c r="AI307" s="157"/>
      <c r="AJ307" s="157"/>
      <c r="AK307" s="157"/>
      <c r="AL307" s="157"/>
      <c r="AM307" s="157"/>
      <c r="AN307" s="159"/>
      <c r="AO307" s="159"/>
      <c r="AP307" s="160"/>
      <c r="AQ307" s="160"/>
      <c r="AR307" s="160"/>
      <c r="AS307" s="159"/>
      <c r="AT307" s="159"/>
      <c r="AU307" s="161"/>
      <c r="AV307" s="157"/>
      <c r="AW307" s="157"/>
      <c r="AX307" s="157"/>
      <c r="AY307" s="157"/>
      <c r="AZ307" s="157"/>
      <c r="BA307" s="157"/>
      <c r="BB307" s="157"/>
      <c r="BC307" s="151"/>
      <c r="BD307" s="157"/>
      <c r="BE307" s="157"/>
      <c r="BF307" s="157"/>
      <c r="BG307" s="157"/>
      <c r="BH307" s="157"/>
      <c r="BI307" s="157"/>
      <c r="BJ307" s="353"/>
      <c r="BK307" s="353"/>
      <c r="BL307" s="353"/>
      <c r="BM307" s="14"/>
      <c r="BN307" s="14"/>
      <c r="BO307" s="14"/>
    </row>
    <row r="308" spans="1:67" ht="20.100000000000001" customHeight="1">
      <c r="A308" s="157"/>
      <c r="B308" s="1"/>
      <c r="C308" s="157"/>
      <c r="D308" s="1"/>
      <c r="E308" s="150"/>
      <c r="F308" s="150"/>
      <c r="G308" s="151"/>
      <c r="H308" s="150"/>
      <c r="I308" s="150"/>
      <c r="J308" s="151"/>
      <c r="K308" s="151"/>
      <c r="L308" s="150"/>
      <c r="M308" s="151"/>
      <c r="N308" s="151"/>
      <c r="O308" s="151"/>
      <c r="P308" s="150"/>
      <c r="Q308" s="150"/>
      <c r="R308" s="158"/>
      <c r="S308" s="158"/>
      <c r="T308" s="158"/>
      <c r="U308" s="158"/>
      <c r="V308" s="1"/>
      <c r="W308" s="1"/>
      <c r="X308" s="157"/>
      <c r="Y308" s="157"/>
      <c r="Z308" s="157"/>
      <c r="AA308" s="157"/>
      <c r="AB308" s="157"/>
      <c r="AC308" s="151"/>
      <c r="AD308" s="151"/>
      <c r="AE308" s="151"/>
      <c r="AF308" s="157"/>
      <c r="AG308" s="157"/>
      <c r="AH308" s="157"/>
      <c r="AI308" s="157"/>
      <c r="AJ308" s="157"/>
      <c r="AK308" s="157"/>
      <c r="AL308" s="157"/>
      <c r="AM308" s="157"/>
      <c r="AN308" s="159"/>
      <c r="AO308" s="159"/>
      <c r="AP308" s="160"/>
      <c r="AQ308" s="160"/>
      <c r="AR308" s="160"/>
      <c r="AS308" s="159"/>
      <c r="AT308" s="159"/>
      <c r="AU308" s="161"/>
      <c r="AV308" s="157"/>
      <c r="AW308" s="157"/>
      <c r="AX308" s="157"/>
      <c r="AY308" s="157"/>
      <c r="AZ308" s="157"/>
      <c r="BA308" s="157"/>
      <c r="BB308" s="157"/>
      <c r="BC308" s="151"/>
      <c r="BD308" s="157"/>
      <c r="BE308" s="157"/>
      <c r="BF308" s="157"/>
      <c r="BG308" s="157"/>
      <c r="BH308" s="157"/>
      <c r="BI308" s="157"/>
      <c r="BJ308" s="353"/>
      <c r="BK308" s="353"/>
      <c r="BL308" s="353"/>
      <c r="BM308" s="14"/>
      <c r="BN308" s="14"/>
      <c r="BO308" s="14"/>
    </row>
    <row r="309" spans="1:67" ht="20.100000000000001" customHeight="1">
      <c r="A309" s="157"/>
      <c r="B309" s="1"/>
      <c r="C309" s="157"/>
      <c r="D309" s="1"/>
      <c r="E309" s="150"/>
      <c r="F309" s="150"/>
      <c r="G309" s="151"/>
      <c r="H309" s="150"/>
      <c r="I309" s="150"/>
      <c r="J309" s="151"/>
      <c r="K309" s="151"/>
      <c r="L309" s="150"/>
      <c r="M309" s="151"/>
      <c r="N309" s="151"/>
      <c r="O309" s="151"/>
      <c r="P309" s="150"/>
      <c r="Q309" s="150"/>
      <c r="R309" s="158"/>
      <c r="S309" s="158"/>
      <c r="T309" s="158"/>
      <c r="U309" s="158"/>
      <c r="V309" s="1"/>
      <c r="W309" s="1"/>
      <c r="X309" s="157"/>
      <c r="Y309" s="157"/>
      <c r="Z309" s="157"/>
      <c r="AA309" s="157"/>
      <c r="AB309" s="157"/>
      <c r="AC309" s="151"/>
      <c r="AD309" s="151"/>
      <c r="AE309" s="151"/>
      <c r="AF309" s="157"/>
      <c r="AG309" s="157"/>
      <c r="AH309" s="157"/>
      <c r="AI309" s="157"/>
      <c r="AJ309" s="157"/>
      <c r="AK309" s="157"/>
      <c r="AL309" s="157"/>
      <c r="AM309" s="157"/>
      <c r="AN309" s="159"/>
      <c r="AO309" s="159"/>
      <c r="AP309" s="160"/>
      <c r="AQ309" s="160"/>
      <c r="AR309" s="160"/>
      <c r="AS309" s="159"/>
      <c r="AT309" s="159"/>
      <c r="AU309" s="161"/>
      <c r="AV309" s="157"/>
      <c r="AW309" s="157"/>
      <c r="AX309" s="157"/>
      <c r="AY309" s="157"/>
      <c r="AZ309" s="157"/>
      <c r="BA309" s="157"/>
      <c r="BB309" s="157"/>
      <c r="BC309" s="151"/>
      <c r="BD309" s="157"/>
      <c r="BE309" s="157"/>
      <c r="BF309" s="157"/>
      <c r="BG309" s="157"/>
      <c r="BH309" s="157"/>
      <c r="BI309" s="157"/>
      <c r="BJ309" s="353"/>
      <c r="BK309" s="353"/>
      <c r="BL309" s="353"/>
      <c r="BM309" s="14"/>
      <c r="BN309" s="14"/>
      <c r="BO309" s="14"/>
    </row>
    <row r="310" spans="1:67" ht="20.100000000000001" customHeight="1">
      <c r="A310" s="157"/>
      <c r="B310" s="1"/>
      <c r="C310" s="157"/>
      <c r="D310" s="1"/>
      <c r="E310" s="150"/>
      <c r="F310" s="150"/>
      <c r="G310" s="151"/>
      <c r="H310" s="150"/>
      <c r="I310" s="150"/>
      <c r="J310" s="151"/>
      <c r="K310" s="151"/>
      <c r="L310" s="150"/>
      <c r="M310" s="151"/>
      <c r="N310" s="151"/>
      <c r="O310" s="151"/>
      <c r="P310" s="150"/>
      <c r="Q310" s="150"/>
      <c r="R310" s="158"/>
      <c r="S310" s="158"/>
      <c r="T310" s="158"/>
      <c r="U310" s="158"/>
      <c r="V310" s="1"/>
      <c r="W310" s="1"/>
      <c r="X310" s="157"/>
      <c r="Y310" s="157"/>
      <c r="Z310" s="157"/>
      <c r="AA310" s="157"/>
      <c r="AB310" s="157"/>
      <c r="AC310" s="151"/>
      <c r="AD310" s="151"/>
      <c r="AE310" s="151"/>
      <c r="AF310" s="157"/>
      <c r="AG310" s="157"/>
      <c r="AH310" s="157"/>
      <c r="AI310" s="157"/>
      <c r="AJ310" s="157"/>
      <c r="AK310" s="157"/>
      <c r="AL310" s="157"/>
      <c r="AM310" s="157"/>
      <c r="AN310" s="159"/>
      <c r="AO310" s="159"/>
      <c r="AP310" s="160"/>
      <c r="AQ310" s="160"/>
      <c r="AR310" s="160"/>
      <c r="AS310" s="159"/>
      <c r="AT310" s="159"/>
      <c r="AU310" s="161"/>
      <c r="AV310" s="157"/>
      <c r="AW310" s="157"/>
      <c r="AX310" s="157"/>
      <c r="AY310" s="157"/>
      <c r="AZ310" s="157"/>
      <c r="BA310" s="157"/>
      <c r="BB310" s="157"/>
      <c r="BC310" s="151"/>
      <c r="BD310" s="157"/>
      <c r="BE310" s="157"/>
      <c r="BF310" s="157"/>
      <c r="BG310" s="157"/>
      <c r="BH310" s="157"/>
      <c r="BI310" s="157"/>
      <c r="BJ310" s="353"/>
      <c r="BK310" s="353"/>
      <c r="BL310" s="353"/>
      <c r="BM310" s="14"/>
      <c r="BN310" s="14"/>
      <c r="BO310" s="14"/>
    </row>
    <row r="311" spans="1:67" ht="20.100000000000001" customHeight="1">
      <c r="A311" s="157"/>
      <c r="B311" s="1"/>
      <c r="C311" s="157"/>
      <c r="D311" s="1"/>
      <c r="E311" s="150"/>
      <c r="F311" s="150"/>
      <c r="G311" s="151"/>
      <c r="H311" s="150"/>
      <c r="I311" s="150"/>
      <c r="J311" s="151"/>
      <c r="K311" s="151"/>
      <c r="L311" s="150"/>
      <c r="M311" s="151"/>
      <c r="N311" s="151"/>
      <c r="O311" s="151"/>
      <c r="P311" s="150"/>
      <c r="Q311" s="150"/>
      <c r="R311" s="158"/>
      <c r="S311" s="158"/>
      <c r="T311" s="158"/>
      <c r="U311" s="158"/>
      <c r="V311" s="1"/>
      <c r="W311" s="1"/>
      <c r="X311" s="157"/>
      <c r="Y311" s="157"/>
      <c r="Z311" s="157"/>
      <c r="AA311" s="157"/>
      <c r="AB311" s="157"/>
      <c r="AC311" s="151"/>
      <c r="AD311" s="151"/>
      <c r="AE311" s="151"/>
      <c r="AF311" s="157"/>
      <c r="AG311" s="157"/>
      <c r="AH311" s="157"/>
      <c r="AI311" s="157"/>
      <c r="AJ311" s="157"/>
      <c r="AK311" s="157"/>
      <c r="AL311" s="157"/>
      <c r="AM311" s="157"/>
      <c r="AN311" s="159"/>
      <c r="AO311" s="159"/>
      <c r="AP311" s="160"/>
      <c r="AQ311" s="160"/>
      <c r="AR311" s="160"/>
      <c r="AS311" s="159"/>
      <c r="AT311" s="159"/>
      <c r="AU311" s="161"/>
      <c r="AV311" s="157"/>
      <c r="AW311" s="157"/>
      <c r="AX311" s="157"/>
      <c r="AY311" s="157"/>
      <c r="AZ311" s="157"/>
      <c r="BA311" s="157"/>
      <c r="BB311" s="157"/>
      <c r="BC311" s="151"/>
      <c r="BD311" s="157"/>
      <c r="BE311" s="157"/>
      <c r="BF311" s="157"/>
      <c r="BG311" s="157"/>
      <c r="BH311" s="157"/>
      <c r="BI311" s="157"/>
      <c r="BJ311" s="353"/>
      <c r="BK311" s="353"/>
      <c r="BL311" s="353"/>
      <c r="BM311" s="14"/>
      <c r="BN311" s="14"/>
      <c r="BO311" s="14"/>
    </row>
    <row r="312" spans="1:67" ht="20.100000000000001" customHeight="1">
      <c r="A312" s="157"/>
      <c r="B312" s="1"/>
      <c r="C312" s="157"/>
      <c r="D312" s="1"/>
      <c r="E312" s="150"/>
      <c r="F312" s="150"/>
      <c r="G312" s="151"/>
      <c r="H312" s="150"/>
      <c r="I312" s="150"/>
      <c r="J312" s="151"/>
      <c r="K312" s="151"/>
      <c r="L312" s="150"/>
      <c r="M312" s="151"/>
      <c r="N312" s="151"/>
      <c r="O312" s="151"/>
      <c r="P312" s="150"/>
      <c r="Q312" s="150"/>
      <c r="R312" s="158"/>
      <c r="S312" s="158"/>
      <c r="T312" s="158"/>
      <c r="U312" s="158"/>
      <c r="V312" s="1"/>
      <c r="W312" s="1"/>
      <c r="X312" s="157"/>
      <c r="Y312" s="157"/>
      <c r="Z312" s="157"/>
      <c r="AA312" s="157"/>
      <c r="AB312" s="157"/>
      <c r="AC312" s="151"/>
      <c r="AD312" s="151"/>
      <c r="AE312" s="151"/>
      <c r="AF312" s="157"/>
      <c r="AG312" s="157"/>
      <c r="AH312" s="157"/>
      <c r="AI312" s="157"/>
      <c r="AJ312" s="157"/>
      <c r="AK312" s="157"/>
      <c r="AL312" s="157"/>
      <c r="AM312" s="157"/>
      <c r="AN312" s="159"/>
      <c r="AO312" s="159"/>
      <c r="AP312" s="160"/>
      <c r="AQ312" s="160"/>
      <c r="AR312" s="160"/>
      <c r="AS312" s="159"/>
      <c r="AT312" s="159"/>
      <c r="AU312" s="161"/>
      <c r="AV312" s="157"/>
      <c r="AW312" s="157"/>
      <c r="AX312" s="157"/>
      <c r="AY312" s="157"/>
      <c r="AZ312" s="157"/>
      <c r="BA312" s="157"/>
      <c r="BB312" s="157"/>
      <c r="BC312" s="151"/>
      <c r="BD312" s="157"/>
      <c r="BE312" s="157"/>
      <c r="BF312" s="157"/>
      <c r="BG312" s="157"/>
      <c r="BH312" s="157"/>
      <c r="BI312" s="157"/>
      <c r="BJ312" s="353"/>
      <c r="BK312" s="353"/>
      <c r="BL312" s="353"/>
      <c r="BM312" s="14"/>
      <c r="BN312" s="14"/>
      <c r="BO312" s="14"/>
    </row>
    <row r="313" spans="1:67" ht="20.100000000000001" customHeight="1">
      <c r="A313" s="157"/>
      <c r="B313" s="1"/>
      <c r="C313" s="157"/>
      <c r="D313" s="1"/>
      <c r="E313" s="150"/>
      <c r="F313" s="150"/>
      <c r="G313" s="151"/>
      <c r="H313" s="150"/>
      <c r="I313" s="150"/>
      <c r="J313" s="151"/>
      <c r="K313" s="151"/>
      <c r="L313" s="150"/>
      <c r="M313" s="151"/>
      <c r="N313" s="151"/>
      <c r="O313" s="151"/>
      <c r="P313" s="150"/>
      <c r="Q313" s="150"/>
      <c r="R313" s="158"/>
      <c r="S313" s="158"/>
      <c r="T313" s="158"/>
      <c r="U313" s="158"/>
      <c r="V313" s="1"/>
      <c r="W313" s="1"/>
      <c r="X313" s="157"/>
      <c r="Y313" s="157"/>
      <c r="Z313" s="157"/>
      <c r="AA313" s="157"/>
      <c r="AB313" s="157"/>
      <c r="AC313" s="151"/>
      <c r="AD313" s="151"/>
      <c r="AE313" s="151"/>
      <c r="AF313" s="157"/>
      <c r="AG313" s="157"/>
      <c r="AH313" s="157"/>
      <c r="AI313" s="157"/>
      <c r="AJ313" s="157"/>
      <c r="AK313" s="157"/>
      <c r="AL313" s="157"/>
      <c r="AM313" s="157"/>
      <c r="AN313" s="159"/>
      <c r="AO313" s="159"/>
      <c r="AP313" s="160"/>
      <c r="AQ313" s="160"/>
      <c r="AR313" s="160"/>
      <c r="AS313" s="159"/>
      <c r="AT313" s="159"/>
      <c r="AU313" s="161"/>
      <c r="AV313" s="157"/>
      <c r="AW313" s="157"/>
      <c r="AX313" s="157"/>
      <c r="AY313" s="157"/>
      <c r="AZ313" s="157"/>
      <c r="BA313" s="157"/>
      <c r="BB313" s="157"/>
      <c r="BC313" s="151"/>
      <c r="BD313" s="157"/>
      <c r="BE313" s="157"/>
      <c r="BF313" s="157"/>
      <c r="BG313" s="157"/>
      <c r="BH313" s="157"/>
      <c r="BI313" s="157"/>
      <c r="BJ313" s="353"/>
      <c r="BK313" s="353"/>
      <c r="BL313" s="353"/>
      <c r="BM313" s="14"/>
      <c r="BN313" s="14"/>
      <c r="BO313" s="14"/>
    </row>
    <row r="314" spans="1:67" ht="20.100000000000001" customHeight="1">
      <c r="A314" s="157"/>
      <c r="B314" s="1"/>
      <c r="C314" s="157"/>
      <c r="D314" s="1"/>
      <c r="E314" s="150"/>
      <c r="F314" s="150"/>
      <c r="G314" s="151"/>
      <c r="H314" s="150"/>
      <c r="I314" s="150"/>
      <c r="J314" s="151"/>
      <c r="K314" s="151"/>
      <c r="L314" s="150"/>
      <c r="M314" s="151"/>
      <c r="N314" s="151"/>
      <c r="O314" s="151"/>
      <c r="P314" s="150"/>
      <c r="Q314" s="150"/>
      <c r="R314" s="158"/>
      <c r="S314" s="158"/>
      <c r="T314" s="158"/>
      <c r="U314" s="158"/>
      <c r="V314" s="1"/>
      <c r="W314" s="1"/>
      <c r="X314" s="157"/>
      <c r="Y314" s="157"/>
      <c r="Z314" s="157"/>
      <c r="AA314" s="157"/>
      <c r="AB314" s="157"/>
      <c r="AC314" s="151"/>
      <c r="AD314" s="151"/>
      <c r="AE314" s="151"/>
      <c r="AF314" s="157"/>
      <c r="AG314" s="157"/>
      <c r="AH314" s="157"/>
      <c r="AI314" s="157"/>
      <c r="AJ314" s="157"/>
      <c r="AK314" s="157"/>
      <c r="AL314" s="157"/>
      <c r="AM314" s="157"/>
      <c r="AN314" s="159"/>
      <c r="AO314" s="159"/>
      <c r="AP314" s="160"/>
      <c r="AQ314" s="160"/>
      <c r="AR314" s="160"/>
      <c r="AS314" s="159"/>
      <c r="AT314" s="159"/>
      <c r="AU314" s="161"/>
      <c r="AV314" s="157"/>
      <c r="AW314" s="157"/>
      <c r="AX314" s="157"/>
      <c r="AY314" s="157"/>
      <c r="AZ314" s="157"/>
      <c r="BA314" s="157"/>
      <c r="BB314" s="157"/>
      <c r="BC314" s="151"/>
      <c r="BD314" s="157"/>
      <c r="BE314" s="157"/>
      <c r="BF314" s="157"/>
      <c r="BG314" s="157"/>
      <c r="BH314" s="157"/>
      <c r="BI314" s="157"/>
      <c r="BJ314" s="353"/>
      <c r="BK314" s="353"/>
      <c r="BL314" s="353"/>
      <c r="BM314" s="14"/>
      <c r="BN314" s="14"/>
      <c r="BO314" s="14"/>
    </row>
    <row r="315" spans="1:67" ht="20.100000000000001" customHeight="1">
      <c r="A315" s="157"/>
      <c r="B315" s="1"/>
      <c r="C315" s="157"/>
      <c r="D315" s="1"/>
      <c r="E315" s="150"/>
      <c r="F315" s="150"/>
      <c r="G315" s="151"/>
      <c r="H315" s="150"/>
      <c r="I315" s="150"/>
      <c r="J315" s="151"/>
      <c r="K315" s="151"/>
      <c r="L315" s="150"/>
      <c r="M315" s="151"/>
      <c r="N315" s="151"/>
      <c r="O315" s="151"/>
      <c r="P315" s="150"/>
      <c r="Q315" s="150"/>
      <c r="R315" s="158"/>
      <c r="S315" s="158"/>
      <c r="T315" s="158"/>
      <c r="U315" s="158"/>
      <c r="V315" s="1"/>
      <c r="W315" s="1"/>
      <c r="X315" s="157"/>
      <c r="Y315" s="157"/>
      <c r="Z315" s="157"/>
      <c r="AA315" s="157"/>
      <c r="AB315" s="157"/>
      <c r="AC315" s="151"/>
      <c r="AD315" s="151"/>
      <c r="AE315" s="151"/>
      <c r="AF315" s="157"/>
      <c r="AG315" s="157"/>
      <c r="AH315" s="157"/>
      <c r="AI315" s="157"/>
      <c r="AJ315" s="157"/>
      <c r="AK315" s="157"/>
      <c r="AL315" s="157"/>
      <c r="AM315" s="157"/>
      <c r="AN315" s="159"/>
      <c r="AO315" s="159"/>
      <c r="AP315" s="160"/>
      <c r="AQ315" s="160"/>
      <c r="AR315" s="160"/>
      <c r="AS315" s="159"/>
      <c r="AT315" s="159"/>
      <c r="AU315" s="161"/>
      <c r="AV315" s="157"/>
      <c r="AW315" s="157"/>
      <c r="AX315" s="157"/>
      <c r="AY315" s="157"/>
      <c r="AZ315" s="157"/>
      <c r="BA315" s="157"/>
      <c r="BB315" s="157"/>
      <c r="BC315" s="151"/>
      <c r="BD315" s="157"/>
      <c r="BE315" s="157"/>
      <c r="BF315" s="157"/>
      <c r="BG315" s="157"/>
      <c r="BH315" s="157"/>
      <c r="BI315" s="157"/>
      <c r="BJ315" s="353"/>
      <c r="BK315" s="353"/>
      <c r="BL315" s="353"/>
      <c r="BM315" s="14"/>
      <c r="BN315" s="14"/>
      <c r="BO315" s="14"/>
    </row>
    <row r="316" spans="1:67" ht="20.100000000000001" customHeight="1">
      <c r="A316" s="157"/>
      <c r="B316" s="1"/>
      <c r="C316" s="157"/>
      <c r="D316" s="1"/>
      <c r="E316" s="150"/>
      <c r="F316" s="150"/>
      <c r="G316" s="151"/>
      <c r="H316" s="150"/>
      <c r="I316" s="150"/>
      <c r="J316" s="151"/>
      <c r="K316" s="151"/>
      <c r="L316" s="150"/>
      <c r="M316" s="151"/>
      <c r="N316" s="151"/>
      <c r="O316" s="151"/>
      <c r="P316" s="150"/>
      <c r="Q316" s="150"/>
      <c r="R316" s="158"/>
      <c r="S316" s="158"/>
      <c r="T316" s="158"/>
      <c r="U316" s="158"/>
      <c r="V316" s="1"/>
      <c r="W316" s="1"/>
      <c r="X316" s="157"/>
      <c r="Y316" s="157"/>
      <c r="Z316" s="157"/>
      <c r="AA316" s="157"/>
      <c r="AB316" s="157"/>
      <c r="AC316" s="151"/>
      <c r="AD316" s="151"/>
      <c r="AE316" s="151"/>
      <c r="AF316" s="157"/>
      <c r="AG316" s="157"/>
      <c r="AH316" s="157"/>
      <c r="AI316" s="157"/>
      <c r="AJ316" s="157"/>
      <c r="AK316" s="157"/>
      <c r="AL316" s="157"/>
      <c r="AM316" s="157"/>
      <c r="AN316" s="159"/>
      <c r="AO316" s="159"/>
      <c r="AP316" s="160"/>
      <c r="AQ316" s="160"/>
      <c r="AR316" s="160"/>
      <c r="AS316" s="159"/>
      <c r="AT316" s="159"/>
      <c r="AU316" s="161"/>
      <c r="AV316" s="157"/>
      <c r="AW316" s="157"/>
      <c r="AX316" s="157"/>
      <c r="AY316" s="157"/>
      <c r="AZ316" s="157"/>
      <c r="BA316" s="157"/>
      <c r="BB316" s="157"/>
      <c r="BC316" s="151"/>
      <c r="BD316" s="157"/>
      <c r="BE316" s="157"/>
      <c r="BF316" s="157"/>
      <c r="BG316" s="157"/>
      <c r="BH316" s="157"/>
      <c r="BI316" s="157"/>
      <c r="BJ316" s="353"/>
      <c r="BK316" s="353"/>
      <c r="BL316" s="353"/>
      <c r="BM316" s="14"/>
      <c r="BN316" s="14"/>
      <c r="BO316" s="14"/>
    </row>
    <row r="317" spans="1:67" ht="20.100000000000001" customHeight="1">
      <c r="A317" s="157"/>
      <c r="B317" s="1"/>
      <c r="C317" s="157"/>
      <c r="D317" s="1"/>
      <c r="E317" s="150"/>
      <c r="F317" s="150"/>
      <c r="G317" s="151"/>
      <c r="H317" s="150"/>
      <c r="I317" s="150"/>
      <c r="J317" s="151"/>
      <c r="K317" s="151"/>
      <c r="L317" s="150"/>
      <c r="M317" s="151"/>
      <c r="N317" s="151"/>
      <c r="O317" s="151"/>
      <c r="P317" s="150"/>
      <c r="Q317" s="150"/>
      <c r="R317" s="158"/>
      <c r="S317" s="158"/>
      <c r="T317" s="158"/>
      <c r="U317" s="158"/>
      <c r="V317" s="1"/>
      <c r="W317" s="1"/>
      <c r="X317" s="157"/>
      <c r="Y317" s="157"/>
      <c r="Z317" s="157"/>
      <c r="AA317" s="157"/>
      <c r="AB317" s="157"/>
      <c r="AC317" s="151"/>
      <c r="AD317" s="151"/>
      <c r="AE317" s="151"/>
      <c r="AF317" s="157"/>
      <c r="AG317" s="157"/>
      <c r="AH317" s="157"/>
      <c r="AI317" s="157"/>
      <c r="AJ317" s="157"/>
      <c r="AK317" s="157"/>
      <c r="AL317" s="157"/>
      <c r="AM317" s="157"/>
      <c r="AN317" s="159"/>
      <c r="AO317" s="159"/>
      <c r="AP317" s="160"/>
      <c r="AQ317" s="160"/>
      <c r="AR317" s="160"/>
      <c r="AS317" s="159"/>
      <c r="AT317" s="159"/>
      <c r="AU317" s="161"/>
      <c r="AV317" s="157"/>
      <c r="AW317" s="157"/>
      <c r="AX317" s="157"/>
      <c r="AY317" s="157"/>
      <c r="AZ317" s="157"/>
      <c r="BA317" s="157"/>
      <c r="BB317" s="157"/>
      <c r="BC317" s="151"/>
      <c r="BD317" s="157"/>
      <c r="BE317" s="157"/>
      <c r="BF317" s="157"/>
      <c r="BG317" s="157"/>
      <c r="BH317" s="157"/>
      <c r="BI317" s="157"/>
      <c r="BJ317" s="353"/>
      <c r="BK317" s="353"/>
      <c r="BL317" s="353"/>
      <c r="BM317" s="14"/>
      <c r="BN317" s="14"/>
      <c r="BO317" s="14"/>
    </row>
    <row r="318" spans="1:67" ht="20.100000000000001" customHeight="1">
      <c r="A318" s="157"/>
      <c r="B318" s="1"/>
      <c r="C318" s="157"/>
      <c r="D318" s="1"/>
      <c r="E318" s="150"/>
      <c r="F318" s="150"/>
      <c r="G318" s="151"/>
      <c r="H318" s="150"/>
      <c r="I318" s="150"/>
      <c r="J318" s="151"/>
      <c r="K318" s="151"/>
      <c r="L318" s="150"/>
      <c r="M318" s="151"/>
      <c r="N318" s="151"/>
      <c r="O318" s="151"/>
      <c r="P318" s="150"/>
      <c r="Q318" s="150"/>
      <c r="R318" s="158"/>
      <c r="S318" s="158"/>
      <c r="T318" s="158"/>
      <c r="U318" s="158"/>
      <c r="V318" s="1"/>
      <c r="W318" s="1"/>
      <c r="X318" s="157"/>
      <c r="Y318" s="157"/>
      <c r="Z318" s="157"/>
      <c r="AA318" s="157"/>
      <c r="AB318" s="157"/>
      <c r="AC318" s="151"/>
      <c r="AD318" s="151"/>
      <c r="AE318" s="151"/>
      <c r="AF318" s="157"/>
      <c r="AG318" s="157"/>
      <c r="AH318" s="157"/>
      <c r="AI318" s="157"/>
      <c r="AJ318" s="157"/>
      <c r="AK318" s="157"/>
      <c r="AL318" s="157"/>
      <c r="AM318" s="157"/>
      <c r="AN318" s="159"/>
      <c r="AO318" s="159"/>
      <c r="AP318" s="160"/>
      <c r="AQ318" s="160"/>
      <c r="AR318" s="160"/>
      <c r="AS318" s="159"/>
      <c r="AT318" s="159"/>
      <c r="AU318" s="161"/>
      <c r="AV318" s="157"/>
      <c r="AW318" s="157"/>
      <c r="AX318" s="157"/>
      <c r="AY318" s="157"/>
      <c r="AZ318" s="157"/>
      <c r="BA318" s="157"/>
      <c r="BB318" s="157"/>
      <c r="BC318" s="151"/>
      <c r="BD318" s="157"/>
      <c r="BE318" s="157"/>
      <c r="BF318" s="157"/>
      <c r="BG318" s="157"/>
      <c r="BH318" s="157"/>
      <c r="BI318" s="157"/>
      <c r="BJ318" s="353"/>
      <c r="BK318" s="353"/>
      <c r="BL318" s="353"/>
      <c r="BM318" s="14"/>
      <c r="BN318" s="14"/>
      <c r="BO318" s="14"/>
    </row>
    <row r="319" spans="1:67" ht="20.100000000000001" customHeight="1">
      <c r="A319" s="157"/>
      <c r="B319" s="1"/>
      <c r="C319" s="157"/>
      <c r="D319" s="1"/>
      <c r="E319" s="150"/>
      <c r="F319" s="150"/>
      <c r="G319" s="151"/>
      <c r="H319" s="150"/>
      <c r="I319" s="150"/>
      <c r="J319" s="151"/>
      <c r="K319" s="151"/>
      <c r="L319" s="150"/>
      <c r="M319" s="151"/>
      <c r="N319" s="151"/>
      <c r="O319" s="151"/>
      <c r="P319" s="150"/>
      <c r="Q319" s="150"/>
      <c r="R319" s="158"/>
      <c r="S319" s="158"/>
      <c r="T319" s="158"/>
      <c r="U319" s="158"/>
      <c r="V319" s="1"/>
      <c r="W319" s="1"/>
      <c r="X319" s="157"/>
      <c r="Y319" s="157"/>
      <c r="Z319" s="157"/>
      <c r="AA319" s="157"/>
      <c r="AB319" s="157"/>
      <c r="AC319" s="151"/>
      <c r="AD319" s="151"/>
      <c r="AE319" s="151"/>
      <c r="AF319" s="157"/>
      <c r="AG319" s="157"/>
      <c r="AH319" s="157"/>
      <c r="AI319" s="157"/>
      <c r="AJ319" s="157"/>
      <c r="AK319" s="157"/>
      <c r="AL319" s="157"/>
      <c r="AM319" s="157"/>
      <c r="AN319" s="159"/>
      <c r="AO319" s="159"/>
      <c r="AP319" s="160"/>
      <c r="AQ319" s="160"/>
      <c r="AR319" s="160"/>
      <c r="AS319" s="159"/>
      <c r="AT319" s="159"/>
      <c r="AU319" s="161"/>
      <c r="AV319" s="157"/>
      <c r="AW319" s="157"/>
      <c r="AX319" s="157"/>
      <c r="AY319" s="157"/>
      <c r="AZ319" s="157"/>
      <c r="BA319" s="157"/>
      <c r="BB319" s="157"/>
      <c r="BC319" s="151"/>
      <c r="BD319" s="157"/>
      <c r="BE319" s="157"/>
      <c r="BF319" s="157"/>
      <c r="BG319" s="157"/>
      <c r="BH319" s="157"/>
      <c r="BI319" s="157"/>
      <c r="BJ319" s="353"/>
      <c r="BK319" s="353"/>
      <c r="BL319" s="353"/>
      <c r="BM319" s="14"/>
      <c r="BN319" s="14"/>
      <c r="BO319" s="14"/>
    </row>
    <row r="320" spans="1:67" ht="20.100000000000001" customHeight="1">
      <c r="A320" s="157"/>
      <c r="B320" s="1"/>
      <c r="C320" s="157"/>
      <c r="D320" s="1"/>
      <c r="E320" s="150"/>
      <c r="F320" s="150"/>
      <c r="G320" s="151"/>
      <c r="H320" s="150"/>
      <c r="I320" s="150"/>
      <c r="J320" s="151"/>
      <c r="K320" s="151"/>
      <c r="L320" s="150"/>
      <c r="M320" s="151"/>
      <c r="N320" s="151"/>
      <c r="O320" s="151"/>
      <c r="P320" s="150"/>
      <c r="Q320" s="150"/>
      <c r="R320" s="158"/>
      <c r="S320" s="158"/>
      <c r="T320" s="158"/>
      <c r="U320" s="158"/>
      <c r="V320" s="1"/>
      <c r="W320" s="1"/>
      <c r="X320" s="157"/>
      <c r="Y320" s="157"/>
      <c r="Z320" s="157"/>
      <c r="AA320" s="157"/>
      <c r="AB320" s="157"/>
      <c r="AC320" s="151"/>
      <c r="AD320" s="151"/>
      <c r="AE320" s="151"/>
      <c r="AF320" s="157"/>
      <c r="AG320" s="157"/>
      <c r="AH320" s="157"/>
      <c r="AI320" s="157"/>
      <c r="AJ320" s="157"/>
      <c r="AK320" s="157"/>
      <c r="AL320" s="157"/>
      <c r="AM320" s="157"/>
      <c r="AN320" s="159"/>
      <c r="AO320" s="159"/>
      <c r="AP320" s="160"/>
      <c r="AQ320" s="160"/>
      <c r="AR320" s="160"/>
      <c r="AS320" s="159"/>
      <c r="AT320" s="159"/>
      <c r="AU320" s="161"/>
      <c r="AV320" s="157"/>
      <c r="AW320" s="157"/>
      <c r="AX320" s="157"/>
      <c r="AY320" s="157"/>
      <c r="AZ320" s="157"/>
      <c r="BA320" s="157"/>
      <c r="BB320" s="157"/>
      <c r="BC320" s="151"/>
      <c r="BD320" s="157"/>
      <c r="BE320" s="157"/>
      <c r="BF320" s="157"/>
      <c r="BG320" s="157"/>
      <c r="BH320" s="157"/>
      <c r="BI320" s="157"/>
      <c r="BJ320" s="353"/>
      <c r="BK320" s="353"/>
      <c r="BL320" s="353"/>
      <c r="BM320" s="14"/>
      <c r="BN320" s="14"/>
      <c r="BO320" s="14"/>
    </row>
    <row r="321" spans="1:67" ht="20.100000000000001" customHeight="1">
      <c r="A321" s="157"/>
      <c r="B321" s="1"/>
      <c r="C321" s="157"/>
      <c r="D321" s="1"/>
      <c r="E321" s="150"/>
      <c r="F321" s="150"/>
      <c r="G321" s="151"/>
      <c r="H321" s="150"/>
      <c r="I321" s="150"/>
      <c r="J321" s="151"/>
      <c r="K321" s="151"/>
      <c r="L321" s="150"/>
      <c r="M321" s="151"/>
      <c r="N321" s="151"/>
      <c r="O321" s="151"/>
      <c r="P321" s="150"/>
      <c r="Q321" s="150"/>
      <c r="R321" s="158"/>
      <c r="S321" s="158"/>
      <c r="T321" s="158"/>
      <c r="U321" s="158"/>
      <c r="V321" s="1"/>
      <c r="W321" s="1"/>
      <c r="X321" s="157"/>
      <c r="Y321" s="157"/>
      <c r="Z321" s="157"/>
      <c r="AA321" s="157"/>
      <c r="AB321" s="157"/>
      <c r="AC321" s="151"/>
      <c r="AD321" s="151"/>
      <c r="AE321" s="151"/>
      <c r="AF321" s="157"/>
      <c r="AG321" s="157"/>
      <c r="AH321" s="157"/>
      <c r="AI321" s="157"/>
      <c r="AJ321" s="157"/>
      <c r="AK321" s="157"/>
      <c r="AL321" s="157"/>
      <c r="AM321" s="157"/>
      <c r="AN321" s="159"/>
      <c r="AO321" s="159"/>
      <c r="AP321" s="160"/>
      <c r="AQ321" s="160"/>
      <c r="AR321" s="160"/>
      <c r="AS321" s="159"/>
      <c r="AT321" s="159"/>
      <c r="AU321" s="161"/>
      <c r="AV321" s="157"/>
      <c r="AW321" s="157"/>
      <c r="AX321" s="157"/>
      <c r="AY321" s="157"/>
      <c r="AZ321" s="157"/>
      <c r="BA321" s="157"/>
      <c r="BB321" s="157"/>
      <c r="BC321" s="151"/>
      <c r="BD321" s="157"/>
      <c r="BE321" s="157"/>
      <c r="BF321" s="157"/>
      <c r="BG321" s="157"/>
      <c r="BH321" s="157"/>
      <c r="BI321" s="157"/>
      <c r="BJ321" s="353"/>
      <c r="BK321" s="353"/>
      <c r="BL321" s="353"/>
      <c r="BM321" s="14"/>
      <c r="BN321" s="14"/>
      <c r="BO321" s="14"/>
    </row>
    <row r="322" spans="1:67" ht="20.100000000000001" customHeight="1">
      <c r="A322" s="157"/>
      <c r="B322" s="1"/>
      <c r="C322" s="157"/>
      <c r="D322" s="1"/>
      <c r="E322" s="150"/>
      <c r="F322" s="150"/>
      <c r="G322" s="151"/>
      <c r="H322" s="150"/>
      <c r="I322" s="150"/>
      <c r="J322" s="151"/>
      <c r="K322" s="151"/>
      <c r="L322" s="150"/>
      <c r="M322" s="151"/>
      <c r="N322" s="151"/>
      <c r="O322" s="151"/>
      <c r="P322" s="150"/>
      <c r="Q322" s="150"/>
      <c r="R322" s="158"/>
      <c r="S322" s="158"/>
      <c r="T322" s="158"/>
      <c r="U322" s="158"/>
      <c r="V322" s="1"/>
      <c r="W322" s="1"/>
      <c r="X322" s="157"/>
      <c r="Y322" s="157"/>
      <c r="Z322" s="157"/>
      <c r="AA322" s="157"/>
      <c r="AB322" s="157"/>
      <c r="AC322" s="151"/>
      <c r="AD322" s="151"/>
      <c r="AE322" s="151"/>
      <c r="AF322" s="157"/>
      <c r="AG322" s="157"/>
      <c r="AH322" s="157"/>
      <c r="AI322" s="157"/>
      <c r="AJ322" s="157"/>
      <c r="AK322" s="157"/>
      <c r="AL322" s="157"/>
      <c r="AM322" s="157"/>
      <c r="AN322" s="159"/>
      <c r="AO322" s="159"/>
      <c r="AP322" s="160"/>
      <c r="AQ322" s="160"/>
      <c r="AR322" s="160"/>
      <c r="AS322" s="159"/>
      <c r="AT322" s="159"/>
      <c r="AU322" s="161"/>
      <c r="AV322" s="157"/>
      <c r="AW322" s="157"/>
      <c r="AX322" s="157"/>
      <c r="AY322" s="157"/>
      <c r="AZ322" s="157"/>
      <c r="BA322" s="157"/>
      <c r="BB322" s="157"/>
      <c r="BC322" s="151"/>
      <c r="BD322" s="157"/>
      <c r="BE322" s="157"/>
      <c r="BF322" s="157"/>
      <c r="BG322" s="157"/>
      <c r="BH322" s="157"/>
      <c r="BI322" s="157"/>
      <c r="BJ322" s="353"/>
      <c r="BK322" s="353"/>
      <c r="BL322" s="353"/>
      <c r="BM322" s="14"/>
      <c r="BN322" s="14"/>
      <c r="BO322" s="14"/>
    </row>
    <row r="323" spans="1:67" ht="20.100000000000001" customHeight="1">
      <c r="A323" s="157"/>
      <c r="B323" s="1"/>
      <c r="C323" s="157"/>
      <c r="D323" s="1"/>
      <c r="E323" s="150"/>
      <c r="F323" s="150"/>
      <c r="G323" s="151"/>
      <c r="H323" s="150"/>
      <c r="I323" s="150"/>
      <c r="J323" s="151"/>
      <c r="K323" s="151"/>
      <c r="L323" s="150"/>
      <c r="M323" s="151"/>
      <c r="N323" s="151"/>
      <c r="O323" s="151"/>
      <c r="P323" s="150"/>
      <c r="Q323" s="150"/>
      <c r="R323" s="158"/>
      <c r="S323" s="158"/>
      <c r="T323" s="158"/>
      <c r="U323" s="158"/>
      <c r="V323" s="1"/>
      <c r="W323" s="1"/>
      <c r="X323" s="157"/>
      <c r="Y323" s="157"/>
      <c r="Z323" s="157"/>
      <c r="AA323" s="157"/>
      <c r="AB323" s="157"/>
      <c r="AC323" s="151"/>
      <c r="AD323" s="151"/>
      <c r="AE323" s="151"/>
      <c r="AF323" s="157"/>
      <c r="AG323" s="157"/>
      <c r="AH323" s="157"/>
      <c r="AI323" s="157"/>
      <c r="AJ323" s="157"/>
      <c r="AK323" s="157"/>
      <c r="AL323" s="157"/>
      <c r="AM323" s="157"/>
      <c r="AN323" s="159"/>
      <c r="AO323" s="159"/>
      <c r="AP323" s="160"/>
      <c r="AQ323" s="160"/>
      <c r="AR323" s="160"/>
      <c r="AS323" s="159"/>
      <c r="AT323" s="159"/>
      <c r="AU323" s="161"/>
      <c r="AV323" s="157"/>
      <c r="AW323" s="157"/>
      <c r="AX323" s="157"/>
      <c r="AY323" s="157"/>
      <c r="AZ323" s="157"/>
      <c r="BA323" s="157"/>
      <c r="BB323" s="157"/>
      <c r="BC323" s="151"/>
      <c r="BD323" s="157"/>
      <c r="BE323" s="157"/>
      <c r="BF323" s="157"/>
      <c r="BG323" s="157"/>
      <c r="BH323" s="157"/>
      <c r="BI323" s="157"/>
      <c r="BJ323" s="353"/>
      <c r="BK323" s="353"/>
      <c r="BL323" s="353"/>
      <c r="BM323" s="14"/>
      <c r="BN323" s="14"/>
      <c r="BO323" s="14"/>
    </row>
    <row r="324" spans="1:67" ht="20.100000000000001" customHeight="1">
      <c r="A324" s="157"/>
      <c r="B324" s="1"/>
      <c r="C324" s="157"/>
      <c r="D324" s="1"/>
      <c r="E324" s="150"/>
      <c r="F324" s="150"/>
      <c r="G324" s="151"/>
      <c r="H324" s="150"/>
      <c r="I324" s="150"/>
      <c r="J324" s="151"/>
      <c r="K324" s="151"/>
      <c r="L324" s="150"/>
      <c r="M324" s="151"/>
      <c r="N324" s="151"/>
      <c r="O324" s="151"/>
      <c r="P324" s="150"/>
      <c r="Q324" s="150"/>
      <c r="R324" s="158"/>
      <c r="S324" s="158"/>
      <c r="T324" s="158"/>
      <c r="U324" s="158"/>
      <c r="V324" s="1"/>
      <c r="W324" s="1"/>
      <c r="X324" s="157"/>
      <c r="Y324" s="157"/>
      <c r="Z324" s="157"/>
      <c r="AA324" s="157"/>
      <c r="AB324" s="157"/>
      <c r="AC324" s="151"/>
      <c r="AD324" s="151"/>
      <c r="AE324" s="151"/>
      <c r="AF324" s="157"/>
      <c r="AG324" s="157"/>
      <c r="AH324" s="157"/>
      <c r="AI324" s="157"/>
      <c r="AJ324" s="157"/>
      <c r="AK324" s="157"/>
      <c r="AL324" s="157"/>
      <c r="AM324" s="157"/>
      <c r="AN324" s="159"/>
      <c r="AO324" s="159"/>
      <c r="AP324" s="160"/>
      <c r="AQ324" s="160"/>
      <c r="AR324" s="160"/>
      <c r="AS324" s="159"/>
      <c r="AT324" s="159"/>
      <c r="AU324" s="161"/>
      <c r="AV324" s="157"/>
      <c r="AW324" s="157"/>
      <c r="AX324" s="157"/>
      <c r="AY324" s="157"/>
      <c r="AZ324" s="157"/>
      <c r="BA324" s="157"/>
      <c r="BB324" s="157"/>
      <c r="BC324" s="151"/>
      <c r="BD324" s="157"/>
      <c r="BE324" s="157"/>
      <c r="BF324" s="157"/>
      <c r="BG324" s="157"/>
      <c r="BH324" s="157"/>
      <c r="BI324" s="157"/>
      <c r="BJ324" s="353"/>
      <c r="BK324" s="353"/>
      <c r="BL324" s="353"/>
      <c r="BM324" s="14"/>
      <c r="BN324" s="14"/>
      <c r="BO324" s="14"/>
    </row>
    <row r="325" spans="1:67" ht="20.100000000000001" customHeight="1">
      <c r="A325" s="157"/>
      <c r="B325" s="1"/>
      <c r="C325" s="157"/>
      <c r="D325" s="1"/>
      <c r="E325" s="150"/>
      <c r="F325" s="150"/>
      <c r="G325" s="151"/>
      <c r="H325" s="150"/>
      <c r="I325" s="150"/>
      <c r="J325" s="151"/>
      <c r="K325" s="151"/>
      <c r="L325" s="150"/>
      <c r="M325" s="151"/>
      <c r="N325" s="151"/>
      <c r="O325" s="151"/>
      <c r="P325" s="150"/>
      <c r="Q325" s="150"/>
      <c r="R325" s="158"/>
      <c r="S325" s="158"/>
      <c r="T325" s="158"/>
      <c r="U325" s="158"/>
      <c r="V325" s="1"/>
      <c r="W325" s="1"/>
      <c r="X325" s="157"/>
      <c r="Y325" s="157"/>
      <c r="Z325" s="157"/>
      <c r="AA325" s="157"/>
      <c r="AB325" s="157"/>
      <c r="AC325" s="151"/>
      <c r="AD325" s="151"/>
      <c r="AE325" s="151"/>
      <c r="AF325" s="157"/>
      <c r="AG325" s="157"/>
      <c r="AH325" s="157"/>
      <c r="AI325" s="157"/>
      <c r="AJ325" s="157"/>
      <c r="AK325" s="157"/>
      <c r="AL325" s="157"/>
      <c r="AM325" s="157"/>
      <c r="AN325" s="159"/>
      <c r="AO325" s="159"/>
      <c r="AP325" s="160"/>
      <c r="AQ325" s="160"/>
      <c r="AR325" s="160"/>
      <c r="AS325" s="159"/>
      <c r="AT325" s="159"/>
      <c r="AU325" s="161"/>
      <c r="AV325" s="157"/>
      <c r="AW325" s="157"/>
      <c r="AX325" s="157"/>
      <c r="AY325" s="157"/>
      <c r="AZ325" s="157"/>
      <c r="BA325" s="157"/>
      <c r="BB325" s="157"/>
      <c r="BC325" s="151"/>
      <c r="BD325" s="157"/>
      <c r="BE325" s="157"/>
      <c r="BF325" s="157"/>
      <c r="BG325" s="157"/>
      <c r="BH325" s="157"/>
      <c r="BI325" s="157"/>
      <c r="BJ325" s="353"/>
      <c r="BK325" s="353"/>
      <c r="BL325" s="353"/>
      <c r="BM325" s="14"/>
      <c r="BN325" s="14"/>
      <c r="BO325" s="14"/>
    </row>
    <row r="326" spans="1:67" ht="20.100000000000001" customHeight="1">
      <c r="A326" s="157"/>
      <c r="B326" s="1"/>
      <c r="C326" s="157"/>
      <c r="D326" s="1"/>
      <c r="E326" s="150"/>
      <c r="F326" s="150"/>
      <c r="G326" s="151"/>
      <c r="H326" s="150"/>
      <c r="I326" s="150"/>
      <c r="J326" s="151"/>
      <c r="K326" s="151"/>
      <c r="L326" s="150"/>
      <c r="M326" s="151"/>
      <c r="N326" s="151"/>
      <c r="O326" s="151"/>
      <c r="P326" s="150"/>
      <c r="Q326" s="150"/>
      <c r="R326" s="158"/>
      <c r="S326" s="158"/>
      <c r="T326" s="158"/>
      <c r="U326" s="158"/>
      <c r="V326" s="1"/>
      <c r="W326" s="1"/>
      <c r="X326" s="157"/>
      <c r="Y326" s="157"/>
      <c r="Z326" s="157"/>
      <c r="AA326" s="157"/>
      <c r="AB326" s="157"/>
      <c r="AC326" s="151"/>
      <c r="AD326" s="151"/>
      <c r="AE326" s="151"/>
      <c r="AF326" s="157"/>
      <c r="AG326" s="157"/>
      <c r="AH326" s="157"/>
      <c r="AI326" s="157"/>
      <c r="AJ326" s="157"/>
      <c r="AK326" s="157"/>
      <c r="AL326" s="157"/>
      <c r="AM326" s="157"/>
      <c r="AN326" s="159"/>
      <c r="AO326" s="159"/>
      <c r="AP326" s="160"/>
      <c r="AQ326" s="160"/>
      <c r="AR326" s="160"/>
      <c r="AS326" s="159"/>
      <c r="AT326" s="159"/>
      <c r="AU326" s="161"/>
      <c r="AV326" s="157"/>
      <c r="AW326" s="157"/>
      <c r="AX326" s="157"/>
      <c r="AY326" s="157"/>
      <c r="AZ326" s="157"/>
      <c r="BA326" s="157"/>
      <c r="BB326" s="157"/>
      <c r="BC326" s="151"/>
      <c r="BD326" s="157"/>
      <c r="BE326" s="157"/>
      <c r="BF326" s="157"/>
      <c r="BG326" s="157"/>
      <c r="BH326" s="157"/>
      <c r="BI326" s="157"/>
      <c r="BJ326" s="353"/>
      <c r="BK326" s="353"/>
      <c r="BL326" s="353"/>
      <c r="BM326" s="14"/>
      <c r="BN326" s="14"/>
      <c r="BO326" s="14"/>
    </row>
    <row r="327" spans="1:67" ht="20.100000000000001" customHeight="1">
      <c r="A327" s="157"/>
      <c r="B327" s="1"/>
      <c r="C327" s="157"/>
      <c r="D327" s="1"/>
      <c r="E327" s="150"/>
      <c r="F327" s="150"/>
      <c r="G327" s="151"/>
      <c r="H327" s="150"/>
      <c r="I327" s="150"/>
      <c r="J327" s="151"/>
      <c r="K327" s="151"/>
      <c r="L327" s="150"/>
      <c r="M327" s="151"/>
      <c r="N327" s="151"/>
      <c r="O327" s="151"/>
      <c r="P327" s="150"/>
      <c r="Q327" s="150"/>
      <c r="R327" s="158"/>
      <c r="S327" s="158"/>
      <c r="T327" s="158"/>
      <c r="U327" s="158"/>
      <c r="V327" s="1"/>
      <c r="W327" s="1"/>
      <c r="X327" s="157"/>
      <c r="Y327" s="157"/>
      <c r="Z327" s="157"/>
      <c r="AA327" s="157"/>
      <c r="AB327" s="157"/>
      <c r="AC327" s="151"/>
      <c r="AD327" s="151"/>
      <c r="AE327" s="151"/>
      <c r="AF327" s="157"/>
      <c r="AG327" s="157"/>
      <c r="AH327" s="157"/>
      <c r="AI327" s="157"/>
      <c r="AJ327" s="157"/>
      <c r="AK327" s="157"/>
      <c r="AL327" s="157"/>
      <c r="AM327" s="157"/>
      <c r="AN327" s="159"/>
      <c r="AO327" s="159"/>
      <c r="AP327" s="160"/>
      <c r="AQ327" s="160"/>
      <c r="AR327" s="160"/>
      <c r="AS327" s="159"/>
      <c r="AT327" s="159"/>
      <c r="AU327" s="161"/>
      <c r="AV327" s="157"/>
      <c r="AW327" s="157"/>
      <c r="AX327" s="157"/>
      <c r="AY327" s="157"/>
      <c r="AZ327" s="157"/>
      <c r="BA327" s="157"/>
      <c r="BB327" s="157"/>
      <c r="BC327" s="151"/>
      <c r="BD327" s="157"/>
      <c r="BE327" s="157"/>
      <c r="BF327" s="157"/>
      <c r="BG327" s="157"/>
      <c r="BH327" s="157"/>
      <c r="BI327" s="157"/>
      <c r="BJ327" s="353"/>
      <c r="BK327" s="353"/>
      <c r="BL327" s="353"/>
      <c r="BM327" s="14"/>
      <c r="BN327" s="14"/>
      <c r="BO327" s="14"/>
    </row>
    <row r="328" spans="1:67" ht="20.100000000000001" customHeight="1">
      <c r="A328" s="157"/>
      <c r="B328" s="1"/>
      <c r="C328" s="157"/>
      <c r="D328" s="1"/>
      <c r="E328" s="150"/>
      <c r="F328" s="150"/>
      <c r="G328" s="151"/>
      <c r="H328" s="150"/>
      <c r="I328" s="150"/>
      <c r="J328" s="151"/>
      <c r="K328" s="151"/>
      <c r="L328" s="150"/>
      <c r="M328" s="151"/>
      <c r="N328" s="151"/>
      <c r="O328" s="151"/>
      <c r="P328" s="150"/>
      <c r="Q328" s="150"/>
      <c r="R328" s="158"/>
      <c r="S328" s="158"/>
      <c r="T328" s="158"/>
      <c r="U328" s="158"/>
      <c r="V328" s="1"/>
      <c r="W328" s="1"/>
      <c r="X328" s="157"/>
      <c r="Y328" s="157"/>
      <c r="Z328" s="157"/>
      <c r="AA328" s="157"/>
      <c r="AB328" s="157"/>
      <c r="AC328" s="151"/>
      <c r="AD328" s="151"/>
      <c r="AE328" s="151"/>
      <c r="AF328" s="157"/>
      <c r="AG328" s="157"/>
      <c r="AH328" s="157"/>
      <c r="AI328" s="157"/>
      <c r="AJ328" s="157"/>
      <c r="AK328" s="157"/>
      <c r="AL328" s="157"/>
      <c r="AM328" s="157"/>
      <c r="AN328" s="159"/>
      <c r="AO328" s="159"/>
      <c r="AP328" s="160"/>
      <c r="AQ328" s="160"/>
      <c r="AR328" s="160"/>
      <c r="AS328" s="159"/>
      <c r="AT328" s="159"/>
      <c r="AU328" s="161"/>
      <c r="AV328" s="157"/>
      <c r="AW328" s="157"/>
      <c r="AX328" s="157"/>
      <c r="AY328" s="157"/>
      <c r="AZ328" s="157"/>
      <c r="BA328" s="157"/>
      <c r="BB328" s="157"/>
      <c r="BC328" s="151"/>
      <c r="BD328" s="157"/>
      <c r="BE328" s="157"/>
      <c r="BF328" s="157"/>
      <c r="BG328" s="157"/>
      <c r="BH328" s="157"/>
      <c r="BI328" s="157"/>
      <c r="BJ328" s="353"/>
      <c r="BK328" s="353"/>
      <c r="BL328" s="353"/>
      <c r="BM328" s="14"/>
      <c r="BN328" s="14"/>
      <c r="BO328" s="14"/>
    </row>
    <row r="329" spans="1:67" ht="20.100000000000001" customHeight="1">
      <c r="A329" s="157"/>
      <c r="B329" s="1"/>
      <c r="C329" s="157"/>
      <c r="D329" s="1"/>
      <c r="E329" s="150"/>
      <c r="F329" s="150"/>
      <c r="G329" s="151"/>
      <c r="H329" s="150"/>
      <c r="I329" s="150"/>
      <c r="J329" s="151"/>
      <c r="K329" s="151"/>
      <c r="L329" s="150"/>
      <c r="M329" s="151"/>
      <c r="N329" s="151"/>
      <c r="O329" s="151"/>
      <c r="P329" s="150"/>
      <c r="Q329" s="150"/>
      <c r="R329" s="158"/>
      <c r="S329" s="158"/>
      <c r="T329" s="158"/>
      <c r="U329" s="158"/>
      <c r="V329" s="1"/>
      <c r="W329" s="1"/>
      <c r="X329" s="157"/>
      <c r="Y329" s="157"/>
      <c r="Z329" s="157"/>
      <c r="AA329" s="157"/>
      <c r="AB329" s="157"/>
      <c r="AC329" s="151"/>
      <c r="AD329" s="151"/>
      <c r="AE329" s="151"/>
      <c r="AF329" s="157"/>
      <c r="AG329" s="157"/>
      <c r="AH329" s="157"/>
      <c r="AI329" s="157"/>
      <c r="AJ329" s="157"/>
      <c r="AK329" s="157"/>
      <c r="AL329" s="157"/>
      <c r="AM329" s="157"/>
      <c r="AN329" s="159"/>
      <c r="AO329" s="159"/>
      <c r="AP329" s="160"/>
      <c r="AQ329" s="160"/>
      <c r="AR329" s="160"/>
      <c r="AS329" s="159"/>
      <c r="AT329" s="159"/>
      <c r="AU329" s="161"/>
      <c r="AV329" s="157"/>
      <c r="AW329" s="157"/>
      <c r="AX329" s="157"/>
      <c r="AY329" s="157"/>
      <c r="AZ329" s="157"/>
      <c r="BA329" s="157"/>
      <c r="BB329" s="157"/>
      <c r="BC329" s="151"/>
      <c r="BD329" s="157"/>
      <c r="BE329" s="157"/>
      <c r="BF329" s="157"/>
      <c r="BG329" s="157"/>
      <c r="BH329" s="157"/>
      <c r="BI329" s="157"/>
      <c r="BJ329" s="353"/>
      <c r="BK329" s="353"/>
      <c r="BL329" s="353"/>
      <c r="BM329" s="14"/>
      <c r="BN329" s="14"/>
      <c r="BO329" s="14"/>
    </row>
    <row r="330" spans="1:67" ht="20.100000000000001" customHeight="1">
      <c r="A330" s="157"/>
      <c r="B330" s="1"/>
      <c r="C330" s="157"/>
      <c r="D330" s="1"/>
      <c r="E330" s="150"/>
      <c r="F330" s="150"/>
      <c r="G330" s="151"/>
      <c r="H330" s="150"/>
      <c r="I330" s="150"/>
      <c r="J330" s="151"/>
      <c r="K330" s="151"/>
      <c r="L330" s="150"/>
      <c r="M330" s="151"/>
      <c r="N330" s="151"/>
      <c r="O330" s="151"/>
      <c r="P330" s="150"/>
      <c r="Q330" s="150"/>
      <c r="R330" s="158"/>
      <c r="S330" s="158"/>
      <c r="T330" s="158"/>
      <c r="U330" s="158"/>
      <c r="V330" s="1"/>
      <c r="W330" s="1"/>
      <c r="X330" s="157"/>
      <c r="Y330" s="157"/>
      <c r="Z330" s="157"/>
      <c r="AA330" s="157"/>
      <c r="AB330" s="157"/>
      <c r="AC330" s="151"/>
      <c r="AD330" s="151"/>
      <c r="AE330" s="151"/>
      <c r="AF330" s="157"/>
      <c r="AG330" s="157"/>
      <c r="AH330" s="157"/>
      <c r="AI330" s="157"/>
      <c r="AJ330" s="157"/>
      <c r="AK330" s="157"/>
      <c r="AL330" s="157"/>
      <c r="AM330" s="157"/>
      <c r="AN330" s="159"/>
      <c r="AO330" s="159"/>
      <c r="AP330" s="160"/>
      <c r="AQ330" s="160"/>
      <c r="AR330" s="160"/>
      <c r="AS330" s="159"/>
      <c r="AT330" s="159"/>
      <c r="AU330" s="161"/>
      <c r="AV330" s="157"/>
      <c r="AW330" s="157"/>
      <c r="AX330" s="157"/>
      <c r="AY330" s="157"/>
      <c r="AZ330" s="157"/>
      <c r="BA330" s="157"/>
      <c r="BB330" s="157"/>
      <c r="BC330" s="151"/>
      <c r="BD330" s="157"/>
      <c r="BE330" s="157"/>
      <c r="BF330" s="157"/>
      <c r="BG330" s="157"/>
      <c r="BH330" s="157"/>
      <c r="BI330" s="157"/>
      <c r="BJ330" s="353"/>
      <c r="BK330" s="353"/>
      <c r="BL330" s="353"/>
      <c r="BM330" s="14"/>
      <c r="BN330" s="14"/>
      <c r="BO330" s="14"/>
    </row>
    <row r="331" spans="1:67" ht="20.100000000000001" customHeight="1">
      <c r="A331" s="157"/>
      <c r="B331" s="1"/>
      <c r="C331" s="157"/>
      <c r="D331" s="1"/>
      <c r="E331" s="150"/>
      <c r="F331" s="150"/>
      <c r="G331" s="151"/>
      <c r="H331" s="150"/>
      <c r="I331" s="150"/>
      <c r="J331" s="151"/>
      <c r="K331" s="151"/>
      <c r="L331" s="150"/>
      <c r="M331" s="151"/>
      <c r="N331" s="151"/>
      <c r="O331" s="151"/>
      <c r="P331" s="150"/>
      <c r="Q331" s="150"/>
      <c r="R331" s="158"/>
      <c r="S331" s="158"/>
      <c r="T331" s="158"/>
      <c r="U331" s="158"/>
      <c r="V331" s="1"/>
      <c r="W331" s="1"/>
      <c r="X331" s="157"/>
      <c r="Y331" s="157"/>
      <c r="Z331" s="157"/>
      <c r="AA331" s="157"/>
      <c r="AB331" s="157"/>
      <c r="AC331" s="151"/>
      <c r="AD331" s="151"/>
      <c r="AE331" s="151"/>
      <c r="AF331" s="157"/>
      <c r="AG331" s="157"/>
      <c r="AH331" s="157"/>
      <c r="AI331" s="157"/>
      <c r="AJ331" s="157"/>
      <c r="AK331" s="157"/>
      <c r="AL331" s="157"/>
      <c r="AM331" s="157"/>
      <c r="AN331" s="159"/>
      <c r="AO331" s="159"/>
      <c r="AP331" s="160"/>
      <c r="AQ331" s="160"/>
      <c r="AR331" s="160"/>
      <c r="AS331" s="159"/>
      <c r="AT331" s="159"/>
      <c r="AU331" s="161"/>
      <c r="AV331" s="157"/>
      <c r="AW331" s="157"/>
      <c r="AX331" s="157"/>
      <c r="AY331" s="157"/>
      <c r="AZ331" s="157"/>
      <c r="BA331" s="157"/>
      <c r="BB331" s="157"/>
      <c r="BC331" s="151"/>
      <c r="BD331" s="157"/>
      <c r="BE331" s="157"/>
      <c r="BF331" s="157"/>
      <c r="BG331" s="157"/>
      <c r="BH331" s="157"/>
      <c r="BI331" s="157"/>
      <c r="BJ331" s="353"/>
      <c r="BK331" s="353"/>
      <c r="BL331" s="353"/>
      <c r="BM331" s="14"/>
      <c r="BN331" s="14"/>
      <c r="BO331" s="14"/>
    </row>
    <row r="332" spans="1:67" ht="20.100000000000001" customHeight="1">
      <c r="A332" s="157"/>
      <c r="B332" s="1"/>
      <c r="C332" s="157"/>
      <c r="D332" s="1"/>
      <c r="E332" s="150"/>
      <c r="F332" s="150"/>
      <c r="G332" s="151"/>
      <c r="H332" s="150"/>
      <c r="I332" s="150"/>
      <c r="J332" s="151"/>
      <c r="K332" s="151"/>
      <c r="L332" s="150"/>
      <c r="M332" s="151"/>
      <c r="N332" s="151"/>
      <c r="O332" s="151"/>
      <c r="P332" s="150"/>
      <c r="Q332" s="150"/>
      <c r="R332" s="158"/>
      <c r="S332" s="158"/>
      <c r="T332" s="158"/>
      <c r="U332" s="158"/>
      <c r="V332" s="1"/>
      <c r="W332" s="1"/>
      <c r="X332" s="157"/>
      <c r="Y332" s="157"/>
      <c r="Z332" s="157"/>
      <c r="AA332" s="157"/>
      <c r="AB332" s="157"/>
      <c r="AC332" s="151"/>
      <c r="AD332" s="151"/>
      <c r="AE332" s="151"/>
      <c r="AF332" s="157"/>
      <c r="AG332" s="157"/>
      <c r="AH332" s="157"/>
      <c r="AI332" s="157"/>
      <c r="AJ332" s="157"/>
      <c r="AK332" s="157"/>
      <c r="AL332" s="157"/>
      <c r="AM332" s="157"/>
      <c r="AN332" s="159"/>
      <c r="AO332" s="159"/>
      <c r="AP332" s="160"/>
      <c r="AQ332" s="160"/>
      <c r="AR332" s="160"/>
      <c r="AS332" s="159"/>
      <c r="AT332" s="159"/>
      <c r="AU332" s="161"/>
      <c r="AV332" s="157"/>
      <c r="AW332" s="157"/>
      <c r="AX332" s="157"/>
      <c r="AY332" s="157"/>
      <c r="AZ332" s="157"/>
      <c r="BA332" s="157"/>
      <c r="BB332" s="157"/>
      <c r="BC332" s="151"/>
      <c r="BD332" s="157"/>
      <c r="BE332" s="157"/>
      <c r="BF332" s="157"/>
      <c r="BG332" s="157"/>
      <c r="BH332" s="157"/>
      <c r="BI332" s="157"/>
      <c r="BJ332" s="353"/>
      <c r="BK332" s="353"/>
      <c r="BL332" s="353"/>
      <c r="BM332" s="14"/>
      <c r="BN332" s="14"/>
      <c r="BO332" s="14"/>
    </row>
    <row r="333" spans="1:67" ht="20.100000000000001" customHeight="1">
      <c r="A333" s="157"/>
      <c r="B333" s="1"/>
      <c r="C333" s="157"/>
      <c r="D333" s="1"/>
      <c r="E333" s="150"/>
      <c r="F333" s="150"/>
      <c r="G333" s="151"/>
      <c r="H333" s="150"/>
      <c r="I333" s="150"/>
      <c r="J333" s="151"/>
      <c r="K333" s="151"/>
      <c r="L333" s="150"/>
      <c r="M333" s="151"/>
      <c r="N333" s="151"/>
      <c r="O333" s="151"/>
      <c r="P333" s="150"/>
      <c r="Q333" s="150"/>
      <c r="R333" s="158"/>
      <c r="S333" s="158"/>
      <c r="T333" s="158"/>
      <c r="U333" s="158"/>
      <c r="V333" s="1"/>
      <c r="W333" s="1"/>
      <c r="X333" s="157"/>
      <c r="Y333" s="157"/>
      <c r="Z333" s="157"/>
      <c r="AA333" s="157"/>
      <c r="AB333" s="157"/>
      <c r="AC333" s="151"/>
      <c r="AD333" s="151"/>
      <c r="AE333" s="151"/>
      <c r="AF333" s="157"/>
      <c r="AG333" s="157"/>
      <c r="AH333" s="157"/>
      <c r="AI333" s="157"/>
      <c r="AJ333" s="157"/>
      <c r="AK333" s="157"/>
      <c r="AL333" s="157"/>
      <c r="AM333" s="157"/>
      <c r="AN333" s="159"/>
      <c r="AO333" s="159"/>
      <c r="AP333" s="160"/>
      <c r="AQ333" s="160"/>
      <c r="AR333" s="160"/>
      <c r="AS333" s="159"/>
      <c r="AT333" s="159"/>
      <c r="AU333" s="161"/>
      <c r="AV333" s="157"/>
      <c r="AW333" s="157"/>
      <c r="AX333" s="157"/>
      <c r="AY333" s="157"/>
      <c r="AZ333" s="157"/>
      <c r="BA333" s="157"/>
      <c r="BB333" s="157"/>
      <c r="BC333" s="151"/>
      <c r="BD333" s="157"/>
      <c r="BE333" s="157"/>
      <c r="BF333" s="157"/>
      <c r="BG333" s="157"/>
      <c r="BH333" s="157"/>
      <c r="BI333" s="157"/>
      <c r="BJ333" s="353"/>
      <c r="BK333" s="353"/>
      <c r="BL333" s="353"/>
      <c r="BM333" s="14"/>
      <c r="BN333" s="14"/>
      <c r="BO333" s="14"/>
    </row>
    <row r="334" spans="1:67" ht="20.100000000000001" customHeight="1">
      <c r="A334" s="157"/>
      <c r="B334" s="1"/>
      <c r="C334" s="157"/>
      <c r="D334" s="1"/>
      <c r="E334" s="150"/>
      <c r="F334" s="150"/>
      <c r="G334" s="151"/>
      <c r="H334" s="150"/>
      <c r="I334" s="150"/>
      <c r="J334" s="151"/>
      <c r="K334" s="151"/>
      <c r="L334" s="150"/>
      <c r="M334" s="151"/>
      <c r="N334" s="151"/>
      <c r="O334" s="151"/>
      <c r="P334" s="150"/>
      <c r="Q334" s="150"/>
      <c r="R334" s="158"/>
      <c r="S334" s="158"/>
      <c r="T334" s="158"/>
      <c r="U334" s="158"/>
      <c r="V334" s="1"/>
      <c r="W334" s="1"/>
      <c r="X334" s="157"/>
      <c r="Y334" s="157"/>
      <c r="Z334" s="157"/>
      <c r="AA334" s="157"/>
      <c r="AB334" s="157"/>
      <c r="AC334" s="151"/>
      <c r="AD334" s="151"/>
      <c r="AE334" s="151"/>
      <c r="AF334" s="157"/>
      <c r="AG334" s="157"/>
      <c r="AH334" s="157"/>
      <c r="AI334" s="157"/>
      <c r="AJ334" s="157"/>
      <c r="AK334" s="157"/>
      <c r="AL334" s="157"/>
      <c r="AM334" s="157"/>
      <c r="AN334" s="159"/>
      <c r="AO334" s="159"/>
      <c r="AP334" s="160"/>
      <c r="AQ334" s="160"/>
      <c r="AR334" s="160"/>
      <c r="AS334" s="159"/>
      <c r="AT334" s="159"/>
      <c r="AU334" s="161"/>
      <c r="AV334" s="157"/>
      <c r="AW334" s="157"/>
      <c r="AX334" s="157"/>
      <c r="AY334" s="157"/>
      <c r="AZ334" s="157"/>
      <c r="BA334" s="157"/>
      <c r="BB334" s="157"/>
      <c r="BC334" s="151"/>
      <c r="BD334" s="157"/>
      <c r="BE334" s="157"/>
      <c r="BF334" s="157"/>
      <c r="BG334" s="157"/>
      <c r="BH334" s="157"/>
      <c r="BI334" s="157"/>
      <c r="BJ334" s="353"/>
      <c r="BK334" s="353"/>
      <c r="BL334" s="353"/>
      <c r="BM334" s="14"/>
      <c r="BN334" s="14"/>
      <c r="BO334" s="14"/>
    </row>
    <row r="335" spans="1:67" ht="20.100000000000001" customHeight="1">
      <c r="A335" s="157"/>
      <c r="B335" s="1"/>
      <c r="C335" s="157"/>
      <c r="D335" s="1"/>
      <c r="E335" s="150"/>
      <c r="F335" s="150"/>
      <c r="G335" s="151"/>
      <c r="H335" s="150"/>
      <c r="I335" s="150"/>
      <c r="J335" s="151"/>
      <c r="K335" s="151"/>
      <c r="L335" s="150"/>
      <c r="M335" s="151"/>
      <c r="N335" s="151"/>
      <c r="O335" s="151"/>
      <c r="P335" s="150"/>
      <c r="Q335" s="150"/>
      <c r="R335" s="158"/>
      <c r="S335" s="158"/>
      <c r="T335" s="158"/>
      <c r="U335" s="158"/>
      <c r="V335" s="1"/>
      <c r="W335" s="1"/>
      <c r="X335" s="157"/>
      <c r="Y335" s="157"/>
      <c r="Z335" s="157"/>
      <c r="AA335" s="157"/>
      <c r="AB335" s="157"/>
      <c r="AC335" s="151"/>
      <c r="AD335" s="151"/>
      <c r="AE335" s="151"/>
      <c r="AF335" s="157"/>
      <c r="AG335" s="157"/>
      <c r="AH335" s="157"/>
      <c r="AI335" s="157"/>
      <c r="AJ335" s="157"/>
      <c r="AK335" s="157"/>
      <c r="AL335" s="157"/>
      <c r="AM335" s="157"/>
      <c r="AN335" s="159"/>
      <c r="AO335" s="159"/>
      <c r="AP335" s="160"/>
      <c r="AQ335" s="160"/>
      <c r="AR335" s="160"/>
      <c r="AS335" s="159"/>
      <c r="AT335" s="159"/>
      <c r="AU335" s="161"/>
      <c r="AV335" s="157"/>
      <c r="AW335" s="157"/>
      <c r="AX335" s="157"/>
      <c r="AY335" s="157"/>
      <c r="AZ335" s="157"/>
      <c r="BA335" s="157"/>
      <c r="BB335" s="157"/>
      <c r="BC335" s="151"/>
      <c r="BD335" s="157"/>
      <c r="BE335" s="157"/>
      <c r="BF335" s="157"/>
      <c r="BG335" s="157"/>
      <c r="BH335" s="157"/>
      <c r="BI335" s="157"/>
      <c r="BJ335" s="353"/>
      <c r="BK335" s="353"/>
      <c r="BL335" s="353"/>
      <c r="BM335" s="14"/>
      <c r="BN335" s="14"/>
      <c r="BO335" s="14"/>
    </row>
    <row r="336" spans="1:67" ht="20.100000000000001" customHeight="1">
      <c r="A336" s="157"/>
      <c r="B336" s="1"/>
      <c r="C336" s="157"/>
      <c r="D336" s="1"/>
      <c r="E336" s="150"/>
      <c r="F336" s="150"/>
      <c r="G336" s="151"/>
      <c r="H336" s="150"/>
      <c r="I336" s="150"/>
      <c r="J336" s="151"/>
      <c r="K336" s="151"/>
      <c r="L336" s="150"/>
      <c r="M336" s="151"/>
      <c r="N336" s="151"/>
      <c r="O336" s="151"/>
      <c r="P336" s="150"/>
      <c r="Q336" s="150"/>
      <c r="R336" s="158"/>
      <c r="S336" s="158"/>
      <c r="T336" s="158"/>
      <c r="U336" s="158"/>
      <c r="V336" s="1"/>
      <c r="W336" s="1"/>
      <c r="X336" s="157"/>
      <c r="Y336" s="157"/>
      <c r="Z336" s="157"/>
      <c r="AA336" s="157"/>
      <c r="AB336" s="157"/>
      <c r="AC336" s="151"/>
      <c r="AD336" s="151"/>
      <c r="AE336" s="151"/>
      <c r="AF336" s="157"/>
      <c r="AG336" s="157"/>
      <c r="AH336" s="157"/>
      <c r="AI336" s="157"/>
      <c r="AJ336" s="157"/>
      <c r="AK336" s="157"/>
      <c r="AL336" s="157"/>
      <c r="AM336" s="157"/>
      <c r="AN336" s="159"/>
      <c r="AO336" s="159"/>
      <c r="AP336" s="160"/>
      <c r="AQ336" s="160"/>
      <c r="AR336" s="160"/>
      <c r="AS336" s="159"/>
      <c r="AT336" s="159"/>
      <c r="AU336" s="161"/>
      <c r="AV336" s="157"/>
      <c r="AW336" s="157"/>
      <c r="AX336" s="157"/>
      <c r="AY336" s="157"/>
      <c r="AZ336" s="157"/>
      <c r="BA336" s="157"/>
      <c r="BB336" s="157"/>
      <c r="BC336" s="151"/>
      <c r="BD336" s="157"/>
      <c r="BE336" s="157"/>
      <c r="BF336" s="157"/>
      <c r="BG336" s="157"/>
      <c r="BH336" s="157"/>
      <c r="BI336" s="157"/>
      <c r="BJ336" s="353"/>
      <c r="BK336" s="353"/>
      <c r="BL336" s="353"/>
      <c r="BM336" s="14"/>
      <c r="BN336" s="14"/>
      <c r="BO336" s="14"/>
    </row>
    <row r="337" spans="1:67" ht="20.100000000000001" customHeight="1">
      <c r="A337" s="157"/>
      <c r="B337" s="1"/>
      <c r="C337" s="157"/>
      <c r="D337" s="1"/>
      <c r="E337" s="150"/>
      <c r="F337" s="150"/>
      <c r="G337" s="151"/>
      <c r="H337" s="150"/>
      <c r="I337" s="150"/>
      <c r="J337" s="151"/>
      <c r="K337" s="151"/>
      <c r="L337" s="150"/>
      <c r="M337" s="151"/>
      <c r="N337" s="151"/>
      <c r="O337" s="151"/>
      <c r="P337" s="150"/>
      <c r="Q337" s="150"/>
      <c r="R337" s="158"/>
      <c r="S337" s="158"/>
      <c r="T337" s="158"/>
      <c r="U337" s="158"/>
      <c r="V337" s="1"/>
      <c r="W337" s="1"/>
      <c r="X337" s="157"/>
      <c r="Y337" s="157"/>
      <c r="Z337" s="157"/>
      <c r="AA337" s="157"/>
      <c r="AB337" s="157"/>
      <c r="AC337" s="151"/>
      <c r="AD337" s="151"/>
      <c r="AE337" s="151"/>
      <c r="AF337" s="157"/>
      <c r="AG337" s="157"/>
      <c r="AH337" s="157"/>
      <c r="AI337" s="157"/>
      <c r="AJ337" s="157"/>
      <c r="AK337" s="157"/>
      <c r="AL337" s="157"/>
      <c r="AM337" s="157"/>
      <c r="AN337" s="159"/>
      <c r="AO337" s="159"/>
      <c r="AP337" s="160"/>
      <c r="AQ337" s="160"/>
      <c r="AR337" s="160"/>
      <c r="AS337" s="159"/>
      <c r="AT337" s="159"/>
      <c r="AU337" s="161"/>
      <c r="AV337" s="157"/>
      <c r="AW337" s="157"/>
      <c r="AX337" s="157"/>
      <c r="AY337" s="157"/>
      <c r="AZ337" s="157"/>
      <c r="BA337" s="157"/>
      <c r="BB337" s="157"/>
      <c r="BC337" s="151"/>
      <c r="BD337" s="157"/>
      <c r="BE337" s="157"/>
      <c r="BF337" s="157"/>
      <c r="BG337" s="157"/>
      <c r="BH337" s="157"/>
      <c r="BI337" s="157"/>
      <c r="BJ337" s="353"/>
      <c r="BK337" s="353"/>
      <c r="BL337" s="353"/>
      <c r="BM337" s="14"/>
      <c r="BN337" s="14"/>
      <c r="BO337" s="14"/>
    </row>
    <row r="338" spans="1:67" ht="20.100000000000001" customHeight="1">
      <c r="A338" s="157"/>
      <c r="B338" s="1"/>
      <c r="C338" s="157"/>
      <c r="D338" s="1"/>
      <c r="E338" s="150"/>
      <c r="F338" s="150"/>
      <c r="G338" s="151"/>
      <c r="H338" s="150"/>
      <c r="I338" s="150"/>
      <c r="J338" s="151"/>
      <c r="K338" s="151"/>
      <c r="L338" s="150"/>
      <c r="M338" s="151"/>
      <c r="N338" s="151"/>
      <c r="O338" s="151"/>
      <c r="P338" s="150"/>
      <c r="Q338" s="150"/>
      <c r="R338" s="158"/>
      <c r="S338" s="158"/>
      <c r="T338" s="158"/>
      <c r="U338" s="158"/>
      <c r="V338" s="1"/>
      <c r="W338" s="1"/>
      <c r="X338" s="157"/>
      <c r="Y338" s="157"/>
      <c r="Z338" s="157"/>
      <c r="AA338" s="157"/>
      <c r="AB338" s="157"/>
      <c r="AC338" s="151"/>
      <c r="AD338" s="151"/>
      <c r="AE338" s="151"/>
      <c r="AF338" s="157"/>
      <c r="AG338" s="157"/>
      <c r="AH338" s="157"/>
      <c r="AI338" s="157"/>
      <c r="AJ338" s="157"/>
      <c r="AK338" s="157"/>
      <c r="AL338" s="157"/>
      <c r="AM338" s="157"/>
      <c r="AN338" s="159"/>
      <c r="AO338" s="159"/>
      <c r="AP338" s="160"/>
      <c r="AQ338" s="160"/>
      <c r="AR338" s="160"/>
      <c r="AS338" s="159"/>
      <c r="AT338" s="159"/>
      <c r="AU338" s="161"/>
      <c r="AV338" s="157"/>
      <c r="AW338" s="157"/>
      <c r="AX338" s="157"/>
      <c r="AY338" s="157"/>
      <c r="AZ338" s="157"/>
      <c r="BA338" s="157"/>
      <c r="BB338" s="157"/>
      <c r="BC338" s="151"/>
      <c r="BD338" s="157"/>
      <c r="BE338" s="157"/>
      <c r="BF338" s="157"/>
      <c r="BG338" s="157"/>
      <c r="BH338" s="157"/>
      <c r="BI338" s="157"/>
      <c r="BJ338" s="353"/>
      <c r="BK338" s="353"/>
      <c r="BL338" s="353"/>
      <c r="BM338" s="14"/>
      <c r="BN338" s="14"/>
      <c r="BO338" s="14"/>
    </row>
    <row r="339" spans="1:67" ht="20.100000000000001" customHeight="1">
      <c r="A339" s="157"/>
      <c r="B339" s="1"/>
      <c r="C339" s="157"/>
      <c r="D339" s="1"/>
      <c r="E339" s="150"/>
      <c r="F339" s="150"/>
      <c r="G339" s="151"/>
      <c r="H339" s="150"/>
      <c r="I339" s="150"/>
      <c r="J339" s="151"/>
      <c r="K339" s="151"/>
      <c r="L339" s="150"/>
      <c r="M339" s="151"/>
      <c r="N339" s="151"/>
      <c r="O339" s="151"/>
      <c r="P339" s="150"/>
      <c r="Q339" s="150"/>
      <c r="R339" s="158"/>
      <c r="S339" s="158"/>
      <c r="T339" s="158"/>
      <c r="U339" s="158"/>
      <c r="V339" s="1"/>
      <c r="W339" s="1"/>
      <c r="X339" s="157"/>
      <c r="Y339" s="157"/>
      <c r="Z339" s="157"/>
      <c r="AA339" s="157"/>
      <c r="AB339" s="157"/>
      <c r="AC339" s="151"/>
      <c r="AD339" s="151"/>
      <c r="AE339" s="151"/>
      <c r="AF339" s="157"/>
      <c r="AG339" s="157"/>
      <c r="AH339" s="157"/>
      <c r="AI339" s="157"/>
      <c r="AJ339" s="157"/>
      <c r="AK339" s="157"/>
      <c r="AL339" s="157"/>
      <c r="AM339" s="157"/>
      <c r="AN339" s="159"/>
      <c r="AO339" s="159"/>
      <c r="AP339" s="160"/>
      <c r="AQ339" s="160"/>
      <c r="AR339" s="160"/>
      <c r="AS339" s="159"/>
      <c r="AT339" s="159"/>
      <c r="AU339" s="161"/>
      <c r="AV339" s="157"/>
      <c r="AW339" s="157"/>
      <c r="AX339" s="157"/>
      <c r="AY339" s="157"/>
      <c r="AZ339" s="157"/>
      <c r="BA339" s="157"/>
      <c r="BB339" s="157"/>
      <c r="BC339" s="151"/>
      <c r="BD339" s="157"/>
      <c r="BE339" s="157"/>
      <c r="BF339" s="157"/>
      <c r="BG339" s="157"/>
      <c r="BH339" s="157"/>
      <c r="BI339" s="157"/>
      <c r="BJ339" s="353"/>
      <c r="BK339" s="353"/>
      <c r="BL339" s="353"/>
      <c r="BM339" s="14"/>
      <c r="BN339" s="14"/>
      <c r="BO339" s="14"/>
    </row>
    <row r="340" spans="1:67" ht="20.100000000000001" customHeight="1">
      <c r="A340" s="157"/>
      <c r="B340" s="1"/>
      <c r="C340" s="157"/>
      <c r="D340" s="1"/>
      <c r="E340" s="150"/>
      <c r="F340" s="150"/>
      <c r="G340" s="151"/>
      <c r="H340" s="150"/>
      <c r="I340" s="150"/>
      <c r="J340" s="151"/>
      <c r="K340" s="151"/>
      <c r="L340" s="150"/>
      <c r="M340" s="151"/>
      <c r="N340" s="151"/>
      <c r="O340" s="151"/>
      <c r="P340" s="150"/>
      <c r="Q340" s="150"/>
      <c r="R340" s="158"/>
      <c r="S340" s="158"/>
      <c r="T340" s="158"/>
      <c r="U340" s="158"/>
      <c r="V340" s="1"/>
      <c r="W340" s="1"/>
      <c r="X340" s="157"/>
      <c r="Y340" s="157"/>
      <c r="Z340" s="157"/>
      <c r="AA340" s="157"/>
      <c r="AB340" s="157"/>
      <c r="AC340" s="151"/>
      <c r="AD340" s="151"/>
      <c r="AE340" s="151"/>
      <c r="AF340" s="157"/>
      <c r="AG340" s="157"/>
      <c r="AH340" s="157"/>
      <c r="AI340" s="157"/>
      <c r="AJ340" s="157"/>
      <c r="AK340" s="157"/>
      <c r="AL340" s="157"/>
      <c r="AM340" s="157"/>
      <c r="AN340" s="159"/>
      <c r="AO340" s="159"/>
      <c r="AP340" s="160"/>
      <c r="AQ340" s="160"/>
      <c r="AR340" s="160"/>
      <c r="AS340" s="159"/>
      <c r="AT340" s="159"/>
      <c r="AU340" s="161"/>
      <c r="AV340" s="157"/>
      <c r="AW340" s="157"/>
      <c r="AX340" s="157"/>
      <c r="AY340" s="157"/>
      <c r="AZ340" s="157"/>
      <c r="BA340" s="157"/>
      <c r="BB340" s="157"/>
      <c r="BC340" s="151"/>
      <c r="BD340" s="157"/>
      <c r="BE340" s="157"/>
      <c r="BF340" s="157"/>
      <c r="BG340" s="157"/>
      <c r="BH340" s="157"/>
      <c r="BI340" s="157"/>
      <c r="BJ340" s="353"/>
      <c r="BK340" s="353"/>
      <c r="BL340" s="353"/>
      <c r="BM340" s="14"/>
      <c r="BN340" s="14"/>
      <c r="BO340" s="14"/>
    </row>
    <row r="341" spans="1:67" ht="20.100000000000001" customHeight="1">
      <c r="A341" s="157"/>
      <c r="B341" s="1"/>
      <c r="C341" s="157"/>
      <c r="D341" s="1"/>
      <c r="E341" s="150"/>
      <c r="F341" s="150"/>
      <c r="G341" s="151"/>
      <c r="H341" s="150"/>
      <c r="I341" s="150"/>
      <c r="J341" s="151"/>
      <c r="K341" s="151"/>
      <c r="L341" s="150"/>
      <c r="M341" s="151"/>
      <c r="N341" s="151"/>
      <c r="O341" s="151"/>
      <c r="P341" s="150"/>
      <c r="Q341" s="150"/>
      <c r="R341" s="158"/>
      <c r="S341" s="158"/>
      <c r="T341" s="158"/>
      <c r="U341" s="158"/>
      <c r="V341" s="1"/>
      <c r="W341" s="1"/>
      <c r="X341" s="157"/>
      <c r="Y341" s="157"/>
      <c r="Z341" s="157"/>
      <c r="AA341" s="157"/>
      <c r="AB341" s="157"/>
      <c r="AC341" s="151"/>
      <c r="AD341" s="151"/>
      <c r="AE341" s="151"/>
      <c r="AF341" s="157"/>
      <c r="AG341" s="157"/>
      <c r="AH341" s="157"/>
      <c r="AI341" s="157"/>
      <c r="AJ341" s="157"/>
      <c r="AK341" s="157"/>
      <c r="AL341" s="157"/>
      <c r="AM341" s="157"/>
      <c r="AN341" s="159"/>
      <c r="AO341" s="159"/>
      <c r="AP341" s="160"/>
      <c r="AQ341" s="160"/>
      <c r="AR341" s="160"/>
      <c r="AS341" s="159"/>
      <c r="AT341" s="159"/>
      <c r="AU341" s="161"/>
      <c r="AV341" s="157"/>
      <c r="AW341" s="157"/>
      <c r="AX341" s="157"/>
      <c r="AY341" s="157"/>
      <c r="AZ341" s="157"/>
      <c r="BA341" s="157"/>
      <c r="BB341" s="157"/>
      <c r="BC341" s="151"/>
      <c r="BD341" s="157"/>
      <c r="BE341" s="157"/>
      <c r="BF341" s="157"/>
      <c r="BG341" s="157"/>
      <c r="BH341" s="157"/>
      <c r="BI341" s="157"/>
      <c r="BJ341" s="353"/>
      <c r="BK341" s="353"/>
      <c r="BL341" s="353"/>
      <c r="BM341" s="14"/>
      <c r="BN341" s="14"/>
      <c r="BO341" s="14"/>
    </row>
    <row r="342" spans="1:67" ht="20.100000000000001" customHeight="1">
      <c r="A342" s="157"/>
      <c r="B342" s="1"/>
      <c r="C342" s="157"/>
      <c r="D342" s="1"/>
      <c r="E342" s="150"/>
      <c r="F342" s="150"/>
      <c r="G342" s="151"/>
      <c r="H342" s="150"/>
      <c r="I342" s="150"/>
      <c r="J342" s="151"/>
      <c r="K342" s="151"/>
      <c r="L342" s="150"/>
      <c r="M342" s="151"/>
      <c r="N342" s="151"/>
      <c r="O342" s="151"/>
      <c r="P342" s="150"/>
      <c r="Q342" s="150"/>
      <c r="R342" s="158"/>
      <c r="S342" s="158"/>
      <c r="T342" s="158"/>
      <c r="U342" s="158"/>
      <c r="V342" s="1"/>
      <c r="W342" s="1"/>
      <c r="X342" s="157"/>
      <c r="Y342" s="157"/>
      <c r="Z342" s="157"/>
      <c r="AA342" s="157"/>
      <c r="AB342" s="157"/>
      <c r="AC342" s="151"/>
      <c r="AD342" s="151"/>
      <c r="AE342" s="151"/>
      <c r="AF342" s="157"/>
      <c r="AG342" s="157"/>
      <c r="AH342" s="157"/>
      <c r="AI342" s="157"/>
      <c r="AJ342" s="157"/>
      <c r="AK342" s="157"/>
      <c r="AL342" s="157"/>
      <c r="AM342" s="157"/>
      <c r="AN342" s="159"/>
      <c r="AO342" s="159"/>
      <c r="AP342" s="160"/>
      <c r="AQ342" s="160"/>
      <c r="AR342" s="160"/>
      <c r="AS342" s="159"/>
      <c r="AT342" s="159"/>
      <c r="AU342" s="161"/>
      <c r="AV342" s="157"/>
      <c r="AW342" s="157"/>
      <c r="AX342" s="157"/>
      <c r="AY342" s="157"/>
      <c r="AZ342" s="157"/>
      <c r="BA342" s="157"/>
      <c r="BB342" s="157"/>
      <c r="BC342" s="151"/>
      <c r="BD342" s="157"/>
      <c r="BE342" s="157"/>
      <c r="BF342" s="157"/>
      <c r="BG342" s="157"/>
      <c r="BH342" s="157"/>
      <c r="BI342" s="157"/>
      <c r="BJ342" s="353"/>
      <c r="BK342" s="353"/>
      <c r="BL342" s="353"/>
      <c r="BM342" s="14"/>
      <c r="BN342" s="14"/>
      <c r="BO342" s="14"/>
    </row>
    <row r="343" spans="1:67" ht="20.100000000000001" customHeight="1">
      <c r="A343" s="157"/>
      <c r="B343" s="1"/>
      <c r="C343" s="157"/>
      <c r="D343" s="1"/>
      <c r="E343" s="150"/>
      <c r="F343" s="150"/>
      <c r="G343" s="151"/>
      <c r="H343" s="150"/>
      <c r="I343" s="150"/>
      <c r="J343" s="151"/>
      <c r="K343" s="151"/>
      <c r="L343" s="150"/>
      <c r="M343" s="151"/>
      <c r="N343" s="151"/>
      <c r="O343" s="151"/>
      <c r="P343" s="150"/>
      <c r="Q343" s="150"/>
      <c r="R343" s="158"/>
      <c r="S343" s="158"/>
      <c r="T343" s="158"/>
      <c r="U343" s="158"/>
      <c r="V343" s="1"/>
      <c r="W343" s="1"/>
      <c r="X343" s="157"/>
      <c r="Y343" s="157"/>
      <c r="Z343" s="157"/>
      <c r="AA343" s="157"/>
      <c r="AB343" s="157"/>
      <c r="AC343" s="151"/>
      <c r="AD343" s="151"/>
      <c r="AE343" s="151"/>
      <c r="AF343" s="157"/>
      <c r="AG343" s="157"/>
      <c r="AH343" s="157"/>
      <c r="AI343" s="157"/>
      <c r="AJ343" s="157"/>
      <c r="AK343" s="157"/>
      <c r="AL343" s="157"/>
      <c r="AM343" s="157"/>
      <c r="AN343" s="159"/>
      <c r="AO343" s="159"/>
      <c r="AP343" s="160"/>
      <c r="AQ343" s="160"/>
      <c r="AR343" s="160"/>
      <c r="AS343" s="159"/>
      <c r="AT343" s="159"/>
      <c r="AU343" s="161"/>
      <c r="AV343" s="157"/>
      <c r="AW343" s="157"/>
      <c r="AX343" s="157"/>
      <c r="AY343" s="157"/>
      <c r="AZ343" s="157"/>
      <c r="BA343" s="157"/>
      <c r="BB343" s="157"/>
      <c r="BC343" s="151"/>
      <c r="BD343" s="157"/>
      <c r="BE343" s="157"/>
      <c r="BF343" s="157"/>
      <c r="BG343" s="157"/>
      <c r="BH343" s="157"/>
      <c r="BI343" s="157"/>
      <c r="BJ343" s="353"/>
      <c r="BK343" s="353"/>
      <c r="BL343" s="353"/>
      <c r="BM343" s="14"/>
      <c r="BN343" s="14"/>
      <c r="BO343" s="14"/>
    </row>
    <row r="344" spans="1:67" ht="20.100000000000001" customHeight="1">
      <c r="A344" s="157"/>
      <c r="B344" s="1"/>
      <c r="C344" s="157"/>
      <c r="D344" s="1"/>
      <c r="E344" s="150"/>
      <c r="F344" s="150"/>
      <c r="G344" s="151"/>
      <c r="H344" s="150"/>
      <c r="I344" s="150"/>
      <c r="J344" s="151"/>
      <c r="K344" s="151"/>
      <c r="L344" s="150"/>
      <c r="M344" s="151"/>
      <c r="N344" s="151"/>
      <c r="O344" s="151"/>
      <c r="P344" s="150"/>
      <c r="Q344" s="150"/>
      <c r="R344" s="158"/>
      <c r="S344" s="158"/>
      <c r="T344" s="158"/>
      <c r="U344" s="158"/>
      <c r="V344" s="1"/>
      <c r="W344" s="1"/>
      <c r="X344" s="157"/>
      <c r="Y344" s="157"/>
      <c r="Z344" s="157"/>
      <c r="AA344" s="157"/>
      <c r="AB344" s="157"/>
      <c r="AC344" s="151"/>
      <c r="AD344" s="151"/>
      <c r="AE344" s="151"/>
      <c r="AF344" s="157"/>
      <c r="AG344" s="157"/>
      <c r="AH344" s="157"/>
      <c r="AI344" s="157"/>
      <c r="AJ344" s="157"/>
      <c r="AK344" s="157"/>
      <c r="AL344" s="157"/>
      <c r="AM344" s="157"/>
      <c r="AN344" s="159"/>
      <c r="AO344" s="159"/>
      <c r="AP344" s="160"/>
      <c r="AQ344" s="160"/>
      <c r="AR344" s="160"/>
      <c r="AS344" s="159"/>
      <c r="AT344" s="159"/>
      <c r="AU344" s="161"/>
      <c r="AV344" s="157"/>
      <c r="AW344" s="157"/>
      <c r="AX344" s="157"/>
      <c r="AY344" s="157"/>
      <c r="AZ344" s="157"/>
      <c r="BA344" s="157"/>
      <c r="BB344" s="157"/>
      <c r="BC344" s="151"/>
      <c r="BD344" s="157"/>
      <c r="BE344" s="157"/>
      <c r="BF344" s="157"/>
      <c r="BG344" s="157"/>
      <c r="BH344" s="157"/>
      <c r="BI344" s="157"/>
      <c r="BJ344" s="353"/>
      <c r="BK344" s="353"/>
      <c r="BL344" s="353"/>
      <c r="BM344" s="14"/>
      <c r="BN344" s="14"/>
      <c r="BO344" s="14"/>
    </row>
    <row r="345" spans="1:67" ht="20.100000000000001" customHeight="1">
      <c r="A345" s="157"/>
      <c r="B345" s="1"/>
      <c r="C345" s="157"/>
      <c r="D345" s="1"/>
      <c r="E345" s="150"/>
      <c r="F345" s="150"/>
      <c r="G345" s="151"/>
      <c r="H345" s="150"/>
      <c r="I345" s="150"/>
      <c r="J345" s="151"/>
      <c r="K345" s="151"/>
      <c r="L345" s="150"/>
      <c r="M345" s="151"/>
      <c r="N345" s="151"/>
      <c r="O345" s="151"/>
      <c r="P345" s="150"/>
      <c r="Q345" s="150"/>
      <c r="R345" s="158"/>
      <c r="S345" s="158"/>
      <c r="T345" s="158"/>
      <c r="U345" s="158"/>
      <c r="V345" s="1"/>
      <c r="W345" s="1"/>
      <c r="X345" s="157"/>
      <c r="Y345" s="157"/>
      <c r="Z345" s="157"/>
      <c r="AA345" s="157"/>
      <c r="AB345" s="157"/>
      <c r="AC345" s="151"/>
      <c r="AD345" s="151"/>
      <c r="AE345" s="151"/>
      <c r="AF345" s="157"/>
      <c r="AG345" s="157"/>
      <c r="AH345" s="157"/>
      <c r="AI345" s="157"/>
      <c r="AJ345" s="157"/>
      <c r="AK345" s="157"/>
      <c r="AL345" s="157"/>
      <c r="AM345" s="157"/>
      <c r="AN345" s="159"/>
      <c r="AO345" s="159"/>
      <c r="AP345" s="160"/>
      <c r="AQ345" s="160"/>
      <c r="AR345" s="160"/>
      <c r="AS345" s="159"/>
      <c r="AT345" s="159"/>
      <c r="AU345" s="161"/>
      <c r="AV345" s="157"/>
      <c r="AW345" s="157"/>
      <c r="AX345" s="157"/>
      <c r="AY345" s="157"/>
      <c r="AZ345" s="157"/>
      <c r="BA345" s="157"/>
      <c r="BB345" s="157"/>
      <c r="BC345" s="151"/>
      <c r="BD345" s="157"/>
      <c r="BE345" s="157"/>
      <c r="BF345" s="157"/>
      <c r="BG345" s="157"/>
      <c r="BH345" s="157"/>
      <c r="BI345" s="157"/>
      <c r="BJ345" s="353"/>
      <c r="BK345" s="353"/>
      <c r="BL345" s="353"/>
      <c r="BM345" s="14"/>
      <c r="BN345" s="14"/>
      <c r="BO345" s="14"/>
    </row>
    <row r="346" spans="1:67" ht="20.100000000000001" customHeight="1">
      <c r="A346" s="157"/>
      <c r="B346" s="1"/>
      <c r="C346" s="157"/>
      <c r="D346" s="1"/>
      <c r="E346" s="150"/>
      <c r="F346" s="150"/>
      <c r="G346" s="151"/>
      <c r="H346" s="150"/>
      <c r="I346" s="150"/>
      <c r="J346" s="151"/>
      <c r="K346" s="151"/>
      <c r="L346" s="150"/>
      <c r="M346" s="151"/>
      <c r="N346" s="151"/>
      <c r="O346" s="151"/>
      <c r="P346" s="150"/>
      <c r="Q346" s="150"/>
      <c r="R346" s="158"/>
      <c r="S346" s="158"/>
      <c r="T346" s="158"/>
      <c r="U346" s="158"/>
      <c r="V346" s="1"/>
      <c r="W346" s="1"/>
      <c r="X346" s="157"/>
      <c r="Y346" s="157"/>
      <c r="Z346" s="157"/>
      <c r="AA346" s="157"/>
      <c r="AB346" s="157"/>
      <c r="AC346" s="151"/>
      <c r="AD346" s="151"/>
      <c r="AE346" s="151"/>
      <c r="AF346" s="157"/>
      <c r="AG346" s="157"/>
      <c r="AH346" s="157"/>
      <c r="AI346" s="157"/>
      <c r="AJ346" s="157"/>
      <c r="AK346" s="157"/>
      <c r="AL346" s="157"/>
      <c r="AM346" s="157"/>
      <c r="AN346" s="159"/>
      <c r="AO346" s="159"/>
      <c r="AP346" s="160"/>
      <c r="AQ346" s="160"/>
      <c r="AR346" s="160"/>
      <c r="AS346" s="159"/>
      <c r="AT346" s="159"/>
      <c r="AU346" s="161"/>
      <c r="AV346" s="157"/>
      <c r="AW346" s="157"/>
      <c r="AX346" s="157"/>
      <c r="AY346" s="157"/>
      <c r="AZ346" s="157"/>
      <c r="BA346" s="157"/>
      <c r="BB346" s="157"/>
      <c r="BC346" s="151"/>
      <c r="BD346" s="157"/>
      <c r="BE346" s="157"/>
      <c r="BF346" s="157"/>
      <c r="BG346" s="157"/>
      <c r="BH346" s="157"/>
      <c r="BI346" s="157"/>
      <c r="BJ346" s="353"/>
      <c r="BK346" s="353"/>
      <c r="BL346" s="353"/>
      <c r="BM346" s="14"/>
      <c r="BN346" s="14"/>
      <c r="BO346" s="14"/>
    </row>
    <row r="347" spans="1:67" ht="20.100000000000001" customHeight="1">
      <c r="A347" s="157"/>
      <c r="B347" s="1"/>
      <c r="C347" s="157"/>
      <c r="D347" s="1"/>
      <c r="E347" s="150"/>
      <c r="F347" s="150"/>
      <c r="G347" s="151"/>
      <c r="H347" s="150"/>
      <c r="I347" s="150"/>
      <c r="J347" s="151"/>
      <c r="K347" s="151"/>
      <c r="L347" s="150"/>
      <c r="M347" s="151"/>
      <c r="N347" s="151"/>
      <c r="O347" s="151"/>
      <c r="P347" s="150"/>
      <c r="Q347" s="150"/>
      <c r="R347" s="158"/>
      <c r="S347" s="158"/>
      <c r="T347" s="158"/>
      <c r="U347" s="158"/>
      <c r="V347" s="1"/>
      <c r="W347" s="1"/>
      <c r="X347" s="157"/>
      <c r="Y347" s="157"/>
      <c r="Z347" s="157"/>
      <c r="AA347" s="157"/>
      <c r="AB347" s="157"/>
      <c r="AC347" s="151"/>
      <c r="AD347" s="151"/>
      <c r="AE347" s="151"/>
      <c r="AF347" s="157"/>
      <c r="AG347" s="157"/>
      <c r="AH347" s="157"/>
      <c r="AI347" s="157"/>
      <c r="AJ347" s="157"/>
      <c r="AK347" s="157"/>
      <c r="AL347" s="157"/>
      <c r="AM347" s="157"/>
      <c r="AN347" s="159"/>
      <c r="AO347" s="159"/>
      <c r="AP347" s="160"/>
      <c r="AQ347" s="160"/>
      <c r="AR347" s="160"/>
      <c r="AS347" s="159"/>
      <c r="AT347" s="159"/>
      <c r="AU347" s="161"/>
      <c r="AV347" s="157"/>
      <c r="AW347" s="157"/>
      <c r="AX347" s="157"/>
      <c r="AY347" s="157"/>
      <c r="AZ347" s="157"/>
      <c r="BA347" s="157"/>
      <c r="BB347" s="157"/>
      <c r="BC347" s="151"/>
      <c r="BD347" s="157"/>
      <c r="BE347" s="157"/>
      <c r="BF347" s="157"/>
      <c r="BG347" s="157"/>
      <c r="BH347" s="157"/>
      <c r="BI347" s="157"/>
      <c r="BJ347" s="353"/>
      <c r="BK347" s="353"/>
      <c r="BL347" s="353"/>
      <c r="BM347" s="14"/>
      <c r="BN347" s="14"/>
      <c r="BO347" s="14"/>
    </row>
    <row r="348" spans="1:67" ht="20.100000000000001" customHeight="1">
      <c r="A348" s="157"/>
      <c r="B348" s="1"/>
      <c r="C348" s="157"/>
      <c r="D348" s="1"/>
      <c r="E348" s="150"/>
      <c r="F348" s="150"/>
      <c r="G348" s="151"/>
      <c r="H348" s="150"/>
      <c r="I348" s="150"/>
      <c r="J348" s="151"/>
      <c r="K348" s="151"/>
      <c r="L348" s="150"/>
      <c r="M348" s="151"/>
      <c r="N348" s="151"/>
      <c r="O348" s="151"/>
      <c r="P348" s="150"/>
      <c r="Q348" s="150"/>
      <c r="R348" s="158"/>
      <c r="S348" s="158"/>
      <c r="T348" s="158"/>
      <c r="U348" s="158"/>
      <c r="V348" s="1"/>
      <c r="W348" s="1"/>
      <c r="X348" s="157"/>
      <c r="Y348" s="157"/>
      <c r="Z348" s="157"/>
      <c r="AA348" s="157"/>
      <c r="AB348" s="157"/>
      <c r="AC348" s="151"/>
      <c r="AD348" s="151"/>
      <c r="AE348" s="151"/>
      <c r="AF348" s="157"/>
      <c r="AG348" s="157"/>
      <c r="AH348" s="157"/>
      <c r="AI348" s="157"/>
      <c r="AJ348" s="157"/>
      <c r="AK348" s="157"/>
      <c r="AL348" s="157"/>
      <c r="AM348" s="157"/>
      <c r="AN348" s="159"/>
      <c r="AO348" s="159"/>
      <c r="AP348" s="160"/>
      <c r="AQ348" s="160"/>
      <c r="AR348" s="160"/>
      <c r="AS348" s="159"/>
      <c r="AT348" s="159"/>
      <c r="AU348" s="161"/>
      <c r="AV348" s="157"/>
      <c r="AW348" s="157"/>
      <c r="AX348" s="157"/>
      <c r="AY348" s="157"/>
      <c r="AZ348" s="157"/>
      <c r="BA348" s="157"/>
      <c r="BB348" s="157"/>
      <c r="BC348" s="151"/>
      <c r="BD348" s="157"/>
      <c r="BE348" s="157"/>
      <c r="BF348" s="157"/>
      <c r="BG348" s="157"/>
      <c r="BH348" s="157"/>
      <c r="BI348" s="157"/>
      <c r="BJ348" s="353"/>
      <c r="BK348" s="353"/>
      <c r="BL348" s="353"/>
      <c r="BM348" s="14"/>
      <c r="BN348" s="14"/>
      <c r="BO348" s="14"/>
    </row>
    <row r="349" spans="1:67" ht="20.100000000000001" customHeight="1">
      <c r="A349" s="157"/>
      <c r="B349" s="1"/>
      <c r="C349" s="157"/>
      <c r="D349" s="1"/>
      <c r="E349" s="150"/>
      <c r="F349" s="150"/>
      <c r="G349" s="151"/>
      <c r="H349" s="150"/>
      <c r="I349" s="150"/>
      <c r="J349" s="151"/>
      <c r="K349" s="151"/>
      <c r="L349" s="150"/>
      <c r="M349" s="151"/>
      <c r="N349" s="151"/>
      <c r="O349" s="151"/>
      <c r="P349" s="150"/>
      <c r="Q349" s="150"/>
      <c r="R349" s="158"/>
      <c r="S349" s="158"/>
      <c r="T349" s="158"/>
      <c r="U349" s="158"/>
      <c r="V349" s="1"/>
      <c r="W349" s="1"/>
      <c r="X349" s="157"/>
      <c r="Y349" s="157"/>
      <c r="Z349" s="157"/>
      <c r="AA349" s="157"/>
      <c r="AB349" s="157"/>
      <c r="AC349" s="151"/>
      <c r="AD349" s="151"/>
      <c r="AE349" s="151"/>
      <c r="AF349" s="157"/>
      <c r="AG349" s="157"/>
      <c r="AH349" s="157"/>
      <c r="AI349" s="157"/>
      <c r="AJ349" s="157"/>
      <c r="AK349" s="157"/>
      <c r="AL349" s="157"/>
      <c r="AM349" s="157"/>
      <c r="AN349" s="159"/>
      <c r="AO349" s="159"/>
      <c r="AP349" s="160"/>
      <c r="AQ349" s="160"/>
      <c r="AR349" s="160"/>
      <c r="AS349" s="159"/>
      <c r="AT349" s="159"/>
      <c r="AU349" s="161"/>
      <c r="AV349" s="157"/>
      <c r="AW349" s="157"/>
      <c r="AX349" s="157"/>
      <c r="AY349" s="157"/>
      <c r="AZ349" s="157"/>
      <c r="BA349" s="157"/>
      <c r="BB349" s="157"/>
      <c r="BC349" s="151"/>
      <c r="BD349" s="157"/>
      <c r="BE349" s="157"/>
      <c r="BF349" s="157"/>
      <c r="BG349" s="157"/>
      <c r="BH349" s="157"/>
      <c r="BI349" s="157"/>
      <c r="BJ349" s="353"/>
      <c r="BK349" s="353"/>
      <c r="BL349" s="353"/>
      <c r="BM349" s="14"/>
      <c r="BN349" s="14"/>
      <c r="BO349" s="14"/>
    </row>
    <row r="350" spans="1:67" ht="20.100000000000001" customHeight="1">
      <c r="A350" s="157"/>
      <c r="B350" s="1"/>
      <c r="C350" s="157"/>
      <c r="D350" s="1"/>
      <c r="E350" s="150"/>
      <c r="F350" s="150"/>
      <c r="G350" s="151"/>
      <c r="H350" s="150"/>
      <c r="I350" s="150"/>
      <c r="J350" s="151"/>
      <c r="K350" s="151"/>
      <c r="L350" s="150"/>
      <c r="M350" s="151"/>
      <c r="N350" s="151"/>
      <c r="O350" s="151"/>
      <c r="P350" s="150"/>
      <c r="Q350" s="150"/>
      <c r="R350" s="158"/>
      <c r="S350" s="158"/>
      <c r="T350" s="158"/>
      <c r="U350" s="158"/>
      <c r="V350" s="1"/>
      <c r="W350" s="1"/>
      <c r="X350" s="157"/>
      <c r="Y350" s="157"/>
      <c r="Z350" s="157"/>
      <c r="AA350" s="157"/>
      <c r="AB350" s="157"/>
      <c r="AC350" s="151"/>
      <c r="AD350" s="151"/>
      <c r="AE350" s="151"/>
      <c r="AF350" s="157"/>
      <c r="AG350" s="157"/>
      <c r="AH350" s="157"/>
      <c r="AI350" s="157"/>
      <c r="AJ350" s="157"/>
      <c r="AK350" s="157"/>
      <c r="AL350" s="157"/>
      <c r="AM350" s="157"/>
      <c r="AN350" s="159"/>
      <c r="AO350" s="159"/>
      <c r="AP350" s="160"/>
      <c r="AQ350" s="160"/>
      <c r="AR350" s="160"/>
      <c r="AS350" s="159"/>
      <c r="AT350" s="159"/>
      <c r="AU350" s="161"/>
      <c r="AV350" s="157"/>
      <c r="AW350" s="157"/>
      <c r="AX350" s="157"/>
      <c r="AY350" s="157"/>
      <c r="AZ350" s="157"/>
      <c r="BA350" s="157"/>
      <c r="BB350" s="157"/>
      <c r="BC350" s="151"/>
      <c r="BD350" s="157"/>
      <c r="BE350" s="157"/>
      <c r="BF350" s="157"/>
      <c r="BG350" s="157"/>
      <c r="BH350" s="157"/>
      <c r="BI350" s="157"/>
      <c r="BJ350" s="353"/>
      <c r="BK350" s="353"/>
      <c r="BL350" s="353"/>
      <c r="BM350" s="14"/>
      <c r="BN350" s="14"/>
      <c r="BO350" s="14"/>
    </row>
    <row r="351" spans="1:67" ht="20.100000000000001" customHeight="1">
      <c r="A351" s="157"/>
      <c r="B351" s="1"/>
      <c r="C351" s="157"/>
      <c r="D351" s="1"/>
      <c r="E351" s="150"/>
      <c r="F351" s="150"/>
      <c r="G351" s="151"/>
      <c r="H351" s="150"/>
      <c r="I351" s="150"/>
      <c r="J351" s="151"/>
      <c r="K351" s="151"/>
      <c r="L351" s="150"/>
      <c r="M351" s="151"/>
      <c r="N351" s="151"/>
      <c r="O351" s="151"/>
      <c r="P351" s="150"/>
      <c r="Q351" s="150"/>
      <c r="R351" s="158"/>
      <c r="S351" s="158"/>
      <c r="T351" s="158"/>
      <c r="U351" s="158"/>
      <c r="V351" s="1"/>
      <c r="W351" s="1"/>
      <c r="X351" s="157"/>
      <c r="Y351" s="157"/>
      <c r="Z351" s="157"/>
      <c r="AA351" s="157"/>
      <c r="AB351" s="157"/>
      <c r="AC351" s="151"/>
      <c r="AD351" s="151"/>
      <c r="AE351" s="151"/>
      <c r="AF351" s="157"/>
      <c r="AG351" s="157"/>
      <c r="AH351" s="157"/>
      <c r="AI351" s="157"/>
      <c r="AJ351" s="157"/>
      <c r="AK351" s="157"/>
      <c r="AL351" s="157"/>
      <c r="AM351" s="157"/>
      <c r="AN351" s="159"/>
      <c r="AO351" s="159"/>
      <c r="AP351" s="160"/>
      <c r="AQ351" s="160"/>
      <c r="AR351" s="160"/>
      <c r="AS351" s="159"/>
      <c r="AT351" s="159"/>
      <c r="AU351" s="161"/>
      <c r="AV351" s="157"/>
      <c r="AW351" s="157"/>
      <c r="AX351" s="157"/>
      <c r="AY351" s="157"/>
      <c r="AZ351" s="157"/>
      <c r="BA351" s="157"/>
      <c r="BB351" s="157"/>
      <c r="BC351" s="151"/>
      <c r="BD351" s="157"/>
      <c r="BE351" s="157"/>
      <c r="BF351" s="157"/>
      <c r="BG351" s="157"/>
      <c r="BH351" s="157"/>
      <c r="BI351" s="157"/>
      <c r="BJ351" s="353"/>
      <c r="BK351" s="353"/>
      <c r="BL351" s="353"/>
      <c r="BM351" s="14"/>
      <c r="BN351" s="14"/>
      <c r="BO351" s="14"/>
    </row>
    <row r="352" spans="1:67" ht="20.100000000000001" customHeight="1">
      <c r="A352" s="157"/>
      <c r="B352" s="1"/>
      <c r="C352" s="157"/>
      <c r="D352" s="1"/>
      <c r="E352" s="150"/>
      <c r="F352" s="150"/>
      <c r="G352" s="151"/>
      <c r="H352" s="150"/>
      <c r="I352" s="150"/>
      <c r="J352" s="151"/>
      <c r="K352" s="151"/>
      <c r="L352" s="150"/>
      <c r="M352" s="151"/>
      <c r="N352" s="151"/>
      <c r="O352" s="151"/>
      <c r="P352" s="150"/>
      <c r="Q352" s="150"/>
      <c r="R352" s="158"/>
      <c r="S352" s="158"/>
      <c r="T352" s="158"/>
      <c r="U352" s="158"/>
      <c r="V352" s="1"/>
      <c r="W352" s="1"/>
      <c r="X352" s="157"/>
      <c r="Y352" s="157"/>
      <c r="Z352" s="157"/>
      <c r="AA352" s="157"/>
      <c r="AB352" s="157"/>
      <c r="AC352" s="151"/>
      <c r="AD352" s="151"/>
      <c r="AE352" s="151"/>
      <c r="AF352" s="157"/>
      <c r="AG352" s="157"/>
      <c r="AH352" s="157"/>
      <c r="AI352" s="157"/>
      <c r="AJ352" s="157"/>
      <c r="AK352" s="157"/>
      <c r="AL352" s="157"/>
      <c r="AM352" s="157"/>
      <c r="AN352" s="159"/>
      <c r="AO352" s="159"/>
      <c r="AP352" s="160"/>
      <c r="AQ352" s="160"/>
      <c r="AR352" s="160"/>
      <c r="AS352" s="159"/>
      <c r="AT352" s="159"/>
      <c r="AU352" s="161"/>
      <c r="AV352" s="157"/>
      <c r="AW352" s="157"/>
      <c r="AX352" s="157"/>
      <c r="AY352" s="157"/>
      <c r="AZ352" s="157"/>
      <c r="BA352" s="157"/>
      <c r="BB352" s="157"/>
      <c r="BC352" s="151"/>
      <c r="BD352" s="157"/>
      <c r="BE352" s="157"/>
      <c r="BF352" s="157"/>
      <c r="BG352" s="157"/>
      <c r="BH352" s="157"/>
      <c r="BI352" s="157"/>
      <c r="BJ352" s="353"/>
      <c r="BK352" s="353"/>
      <c r="BL352" s="353"/>
      <c r="BM352" s="14"/>
      <c r="BN352" s="14"/>
      <c r="BO352" s="14"/>
    </row>
    <row r="353" spans="1:67" ht="20.100000000000001" customHeight="1">
      <c r="A353" s="157"/>
      <c r="B353" s="1"/>
      <c r="C353" s="157"/>
      <c r="D353" s="1"/>
      <c r="E353" s="150"/>
      <c r="F353" s="150"/>
      <c r="G353" s="151"/>
      <c r="H353" s="150"/>
      <c r="I353" s="150"/>
      <c r="J353" s="151"/>
      <c r="K353" s="151"/>
      <c r="L353" s="150"/>
      <c r="M353" s="151"/>
      <c r="N353" s="151"/>
      <c r="O353" s="151"/>
      <c r="P353" s="150"/>
      <c r="Q353" s="150"/>
      <c r="R353" s="158"/>
      <c r="S353" s="158"/>
      <c r="T353" s="158"/>
      <c r="U353" s="158"/>
      <c r="V353" s="1"/>
      <c r="W353" s="1"/>
      <c r="X353" s="157"/>
      <c r="Y353" s="157"/>
      <c r="Z353" s="157"/>
      <c r="AA353" s="157"/>
      <c r="AB353" s="157"/>
      <c r="AC353" s="151"/>
      <c r="AD353" s="151"/>
      <c r="AE353" s="151"/>
      <c r="AF353" s="157"/>
      <c r="AG353" s="157"/>
      <c r="AH353" s="157"/>
      <c r="AI353" s="157"/>
      <c r="AJ353" s="157"/>
      <c r="AK353" s="157"/>
      <c r="AL353" s="157"/>
      <c r="AM353" s="157"/>
      <c r="AN353" s="159"/>
      <c r="AO353" s="159"/>
      <c r="AP353" s="160"/>
      <c r="AQ353" s="160"/>
      <c r="AR353" s="160"/>
      <c r="AS353" s="159"/>
      <c r="AT353" s="159"/>
      <c r="AU353" s="161"/>
      <c r="AV353" s="157"/>
      <c r="AW353" s="157"/>
      <c r="AX353" s="157"/>
      <c r="AY353" s="157"/>
      <c r="AZ353" s="157"/>
      <c r="BA353" s="157"/>
      <c r="BB353" s="157"/>
      <c r="BC353" s="151"/>
      <c r="BD353" s="157"/>
      <c r="BE353" s="157"/>
      <c r="BF353" s="157"/>
      <c r="BG353" s="157"/>
      <c r="BH353" s="157"/>
      <c r="BI353" s="157"/>
      <c r="BJ353" s="353"/>
      <c r="BK353" s="353"/>
      <c r="BL353" s="353"/>
      <c r="BM353" s="14"/>
      <c r="BN353" s="14"/>
      <c r="BO353" s="14"/>
    </row>
    <row r="354" spans="1:67" ht="20.100000000000001" customHeight="1">
      <c r="A354" s="157"/>
      <c r="B354" s="1"/>
      <c r="C354" s="157"/>
      <c r="D354" s="1"/>
      <c r="E354" s="150"/>
      <c r="F354" s="150"/>
      <c r="G354" s="151"/>
      <c r="H354" s="150"/>
      <c r="I354" s="150"/>
      <c r="J354" s="151"/>
      <c r="K354" s="151"/>
      <c r="L354" s="150"/>
      <c r="M354" s="151"/>
      <c r="N354" s="151"/>
      <c r="O354" s="151"/>
      <c r="P354" s="150"/>
      <c r="Q354" s="150"/>
      <c r="R354" s="158"/>
      <c r="S354" s="158"/>
      <c r="T354" s="158"/>
      <c r="U354" s="158"/>
      <c r="V354" s="1"/>
      <c r="W354" s="1"/>
      <c r="X354" s="157"/>
      <c r="Y354" s="157"/>
      <c r="Z354" s="157"/>
      <c r="AA354" s="157"/>
      <c r="AB354" s="157"/>
      <c r="AC354" s="151"/>
      <c r="AD354" s="151"/>
      <c r="AE354" s="151"/>
      <c r="AF354" s="157"/>
      <c r="AG354" s="157"/>
      <c r="AH354" s="157"/>
      <c r="AI354" s="157"/>
      <c r="AJ354" s="157"/>
      <c r="AK354" s="157"/>
      <c r="AL354" s="157"/>
      <c r="AM354" s="157"/>
      <c r="AN354" s="159"/>
      <c r="AO354" s="159"/>
      <c r="AP354" s="160"/>
      <c r="AQ354" s="160"/>
      <c r="AR354" s="160"/>
      <c r="AS354" s="159"/>
      <c r="AT354" s="159"/>
      <c r="AU354" s="161"/>
      <c r="AV354" s="157"/>
      <c r="AW354" s="157"/>
      <c r="AX354" s="157"/>
      <c r="AY354" s="157"/>
      <c r="AZ354" s="157"/>
      <c r="BA354" s="157"/>
      <c r="BB354" s="157"/>
      <c r="BC354" s="151"/>
      <c r="BD354" s="157"/>
      <c r="BE354" s="157"/>
      <c r="BF354" s="157"/>
      <c r="BG354" s="157"/>
      <c r="BH354" s="157"/>
      <c r="BI354" s="157"/>
      <c r="BJ354" s="353"/>
      <c r="BK354" s="353"/>
      <c r="BL354" s="353"/>
      <c r="BM354" s="14"/>
      <c r="BN354" s="14"/>
      <c r="BO354" s="14"/>
    </row>
    <row r="355" spans="1:67" ht="20.100000000000001" customHeight="1">
      <c r="A355" s="157"/>
      <c r="B355" s="1"/>
      <c r="C355" s="157"/>
      <c r="D355" s="1"/>
      <c r="E355" s="150"/>
      <c r="F355" s="150"/>
      <c r="G355" s="151"/>
      <c r="H355" s="150"/>
      <c r="I355" s="150"/>
      <c r="J355" s="151"/>
      <c r="K355" s="151"/>
      <c r="L355" s="150"/>
      <c r="M355" s="151"/>
      <c r="N355" s="151"/>
      <c r="O355" s="151"/>
      <c r="P355" s="150"/>
      <c r="Q355" s="150"/>
      <c r="R355" s="158"/>
      <c r="S355" s="158"/>
      <c r="T355" s="158"/>
      <c r="U355" s="158"/>
      <c r="V355" s="1"/>
      <c r="W355" s="1"/>
      <c r="X355" s="157"/>
      <c r="Y355" s="157"/>
      <c r="Z355" s="157"/>
      <c r="AA355" s="157"/>
      <c r="AB355" s="157"/>
      <c r="AC355" s="151"/>
      <c r="AD355" s="151"/>
      <c r="AE355" s="151"/>
      <c r="AF355" s="157"/>
      <c r="AG355" s="157"/>
      <c r="AH355" s="157"/>
      <c r="AI355" s="157"/>
      <c r="AJ355" s="157"/>
      <c r="AK355" s="157"/>
      <c r="AL355" s="157"/>
      <c r="AM355" s="157"/>
      <c r="AN355" s="159"/>
      <c r="AO355" s="159"/>
      <c r="AP355" s="160"/>
      <c r="AQ355" s="160"/>
      <c r="AR355" s="160"/>
      <c r="AS355" s="159"/>
      <c r="AT355" s="159"/>
      <c r="AU355" s="161"/>
      <c r="AV355" s="157"/>
      <c r="AW355" s="157"/>
      <c r="AX355" s="157"/>
      <c r="AY355" s="157"/>
      <c r="AZ355" s="157"/>
      <c r="BA355" s="157"/>
      <c r="BB355" s="157"/>
      <c r="BC355" s="151"/>
      <c r="BD355" s="157"/>
      <c r="BE355" s="157"/>
      <c r="BF355" s="157"/>
      <c r="BG355" s="157"/>
      <c r="BH355" s="157"/>
      <c r="BI355" s="157"/>
      <c r="BJ355" s="353"/>
      <c r="BK355" s="353"/>
      <c r="BL355" s="353"/>
      <c r="BM355" s="14"/>
      <c r="BN355" s="14"/>
      <c r="BO355" s="14"/>
    </row>
    <row r="356" spans="1:67" ht="20.100000000000001" customHeight="1">
      <c r="A356" s="157"/>
      <c r="B356" s="1"/>
      <c r="C356" s="157"/>
      <c r="D356" s="1"/>
      <c r="E356" s="150"/>
      <c r="F356" s="150"/>
      <c r="G356" s="151"/>
      <c r="H356" s="150"/>
      <c r="I356" s="150"/>
      <c r="J356" s="151"/>
      <c r="K356" s="151"/>
      <c r="L356" s="150"/>
      <c r="M356" s="151"/>
      <c r="N356" s="151"/>
      <c r="O356" s="151"/>
      <c r="P356" s="150"/>
      <c r="Q356" s="150"/>
      <c r="R356" s="158"/>
      <c r="S356" s="158"/>
      <c r="T356" s="158"/>
      <c r="U356" s="158"/>
      <c r="V356" s="1"/>
      <c r="W356" s="1"/>
      <c r="X356" s="157"/>
      <c r="Y356" s="157"/>
      <c r="Z356" s="157"/>
      <c r="AA356" s="157"/>
      <c r="AB356" s="157"/>
      <c r="AC356" s="151"/>
      <c r="AD356" s="151"/>
      <c r="AE356" s="151"/>
      <c r="AF356" s="157"/>
      <c r="AG356" s="157"/>
      <c r="AH356" s="157"/>
      <c r="AI356" s="157"/>
      <c r="AJ356" s="157"/>
      <c r="AK356" s="157"/>
      <c r="AL356" s="157"/>
      <c r="AM356" s="157"/>
      <c r="AN356" s="159"/>
      <c r="AO356" s="159"/>
      <c r="AP356" s="160"/>
      <c r="AQ356" s="160"/>
      <c r="AR356" s="160"/>
      <c r="AS356" s="159"/>
      <c r="AT356" s="159"/>
      <c r="AU356" s="161"/>
      <c r="AV356" s="157"/>
      <c r="AW356" s="157"/>
      <c r="AX356" s="157"/>
      <c r="AY356" s="157"/>
      <c r="AZ356" s="157"/>
      <c r="BA356" s="157"/>
      <c r="BB356" s="157"/>
      <c r="BC356" s="151"/>
      <c r="BD356" s="157"/>
      <c r="BE356" s="157"/>
      <c r="BF356" s="157"/>
      <c r="BG356" s="157"/>
      <c r="BH356" s="157"/>
      <c r="BI356" s="157"/>
      <c r="BJ356" s="353"/>
      <c r="BK356" s="353"/>
      <c r="BL356" s="353"/>
      <c r="BM356" s="14"/>
      <c r="BN356" s="14"/>
      <c r="BO356" s="14"/>
    </row>
    <row r="357" spans="1:67" ht="20.100000000000001" customHeight="1">
      <c r="A357" s="157"/>
      <c r="B357" s="1"/>
      <c r="C357" s="157"/>
      <c r="D357" s="1"/>
      <c r="E357" s="150"/>
      <c r="F357" s="150"/>
      <c r="G357" s="151"/>
      <c r="H357" s="150"/>
      <c r="I357" s="150"/>
      <c r="J357" s="151"/>
      <c r="K357" s="151"/>
      <c r="L357" s="150"/>
      <c r="M357" s="151"/>
      <c r="N357" s="151"/>
      <c r="O357" s="151"/>
      <c r="P357" s="150"/>
      <c r="Q357" s="150"/>
      <c r="R357" s="158"/>
      <c r="S357" s="158"/>
      <c r="T357" s="158"/>
      <c r="U357" s="158"/>
      <c r="V357" s="1"/>
      <c r="W357" s="1"/>
      <c r="X357" s="157"/>
      <c r="Y357" s="157"/>
      <c r="Z357" s="157"/>
      <c r="AA357" s="157"/>
      <c r="AB357" s="157"/>
      <c r="AC357" s="151"/>
      <c r="AD357" s="151"/>
      <c r="AE357" s="151"/>
      <c r="AF357" s="157"/>
      <c r="AG357" s="157"/>
      <c r="AH357" s="157"/>
      <c r="AI357" s="157"/>
      <c r="AJ357" s="157"/>
      <c r="AK357" s="157"/>
      <c r="AL357" s="157"/>
      <c r="AM357" s="157"/>
      <c r="AN357" s="159"/>
      <c r="AO357" s="159"/>
      <c r="AP357" s="160"/>
      <c r="AQ357" s="160"/>
      <c r="AR357" s="160"/>
      <c r="AS357" s="159"/>
      <c r="AT357" s="159"/>
      <c r="AU357" s="161"/>
      <c r="AV357" s="157"/>
      <c r="AW357" s="157"/>
      <c r="AX357" s="157"/>
      <c r="AY357" s="157"/>
      <c r="AZ357" s="157"/>
      <c r="BA357" s="157"/>
      <c r="BB357" s="157"/>
      <c r="BC357" s="151"/>
      <c r="BD357" s="157"/>
      <c r="BE357" s="157"/>
      <c r="BF357" s="157"/>
      <c r="BG357" s="157"/>
      <c r="BH357" s="157"/>
      <c r="BI357" s="157"/>
      <c r="BJ357" s="353"/>
      <c r="BK357" s="353"/>
      <c r="BL357" s="353"/>
      <c r="BM357" s="14"/>
      <c r="BN357" s="14"/>
      <c r="BO357" s="14"/>
    </row>
    <row r="358" spans="1:67" ht="20.100000000000001" customHeight="1">
      <c r="A358" s="157"/>
      <c r="B358" s="1"/>
      <c r="C358" s="157"/>
      <c r="D358" s="1"/>
      <c r="E358" s="150"/>
      <c r="F358" s="150"/>
      <c r="G358" s="151"/>
      <c r="H358" s="150"/>
      <c r="I358" s="150"/>
      <c r="J358" s="151"/>
      <c r="K358" s="151"/>
      <c r="L358" s="150"/>
      <c r="M358" s="151"/>
      <c r="N358" s="151"/>
      <c r="O358" s="151"/>
      <c r="P358" s="150"/>
      <c r="Q358" s="150"/>
      <c r="R358" s="158"/>
      <c r="S358" s="158"/>
      <c r="T358" s="158"/>
      <c r="U358" s="158"/>
      <c r="V358" s="1"/>
      <c r="W358" s="1"/>
      <c r="X358" s="157"/>
      <c r="Y358" s="157"/>
      <c r="Z358" s="157"/>
      <c r="AA358" s="157"/>
      <c r="AB358" s="157"/>
      <c r="AC358" s="151"/>
      <c r="AD358" s="151"/>
      <c r="AE358" s="151"/>
      <c r="AF358" s="157"/>
      <c r="AG358" s="157"/>
      <c r="AH358" s="157"/>
      <c r="AI358" s="157"/>
      <c r="AJ358" s="157"/>
      <c r="AK358" s="157"/>
      <c r="AL358" s="157"/>
      <c r="AM358" s="157"/>
      <c r="AN358" s="159"/>
      <c r="AO358" s="159"/>
      <c r="AP358" s="160"/>
      <c r="AQ358" s="160"/>
      <c r="AR358" s="160"/>
      <c r="AS358" s="159"/>
      <c r="AT358" s="159"/>
      <c r="AU358" s="161"/>
      <c r="AV358" s="157"/>
      <c r="AW358" s="157"/>
      <c r="AX358" s="157"/>
      <c r="AY358" s="157"/>
      <c r="AZ358" s="157"/>
      <c r="BA358" s="157"/>
      <c r="BB358" s="157"/>
      <c r="BC358" s="151"/>
      <c r="BD358" s="157"/>
      <c r="BE358" s="157"/>
      <c r="BF358" s="157"/>
      <c r="BG358" s="157"/>
      <c r="BH358" s="157"/>
      <c r="BI358" s="157"/>
      <c r="BJ358" s="353"/>
      <c r="BK358" s="353"/>
      <c r="BL358" s="353"/>
      <c r="BM358" s="14"/>
      <c r="BN358" s="14"/>
      <c r="BO358" s="14"/>
    </row>
    <row r="359" spans="1:67" ht="20.100000000000001" customHeight="1">
      <c r="A359" s="157"/>
      <c r="B359" s="1"/>
      <c r="C359" s="157"/>
      <c r="D359" s="1"/>
      <c r="E359" s="150"/>
      <c r="F359" s="150"/>
      <c r="G359" s="151"/>
      <c r="H359" s="150"/>
      <c r="I359" s="150"/>
      <c r="J359" s="151"/>
      <c r="K359" s="151"/>
      <c r="L359" s="150"/>
      <c r="M359" s="151"/>
      <c r="N359" s="151"/>
      <c r="O359" s="151"/>
      <c r="P359" s="150"/>
      <c r="Q359" s="150"/>
      <c r="R359" s="158"/>
      <c r="S359" s="158"/>
      <c r="T359" s="158"/>
      <c r="U359" s="158"/>
      <c r="V359" s="1"/>
      <c r="W359" s="1"/>
      <c r="X359" s="157"/>
      <c r="Y359" s="157"/>
      <c r="Z359" s="157"/>
      <c r="AA359" s="157"/>
      <c r="AB359" s="157"/>
      <c r="AC359" s="151"/>
      <c r="AD359" s="151"/>
      <c r="AE359" s="151"/>
      <c r="AF359" s="157"/>
      <c r="AG359" s="157"/>
      <c r="AH359" s="157"/>
      <c r="AI359" s="157"/>
      <c r="AJ359" s="157"/>
      <c r="AK359" s="157"/>
      <c r="AL359" s="157"/>
      <c r="AM359" s="157"/>
      <c r="AN359" s="159"/>
      <c r="AO359" s="159"/>
      <c r="AP359" s="160"/>
      <c r="AQ359" s="160"/>
      <c r="AR359" s="160"/>
      <c r="AS359" s="159"/>
      <c r="AT359" s="159"/>
      <c r="AU359" s="161"/>
      <c r="AV359" s="157"/>
      <c r="AW359" s="157"/>
      <c r="AX359" s="157"/>
      <c r="AY359" s="157"/>
      <c r="AZ359" s="157"/>
      <c r="BA359" s="157"/>
      <c r="BB359" s="157"/>
      <c r="BC359" s="151"/>
      <c r="BD359" s="157"/>
      <c r="BE359" s="157"/>
      <c r="BF359" s="157"/>
      <c r="BG359" s="157"/>
      <c r="BH359" s="157"/>
      <c r="BI359" s="157"/>
      <c r="BJ359" s="353"/>
      <c r="BK359" s="353"/>
      <c r="BL359" s="353"/>
      <c r="BM359" s="14"/>
      <c r="BN359" s="14"/>
      <c r="BO359" s="14"/>
    </row>
    <row r="360" spans="1:67" ht="20.100000000000001" customHeight="1">
      <c r="A360" s="157"/>
      <c r="B360" s="1"/>
      <c r="C360" s="157"/>
      <c r="D360" s="1"/>
      <c r="E360" s="150"/>
      <c r="F360" s="150"/>
      <c r="G360" s="151"/>
      <c r="H360" s="150"/>
      <c r="I360" s="150"/>
      <c r="J360" s="151"/>
      <c r="K360" s="151"/>
      <c r="L360" s="150"/>
      <c r="M360" s="151"/>
      <c r="N360" s="151"/>
      <c r="O360" s="151"/>
      <c r="P360" s="150"/>
      <c r="Q360" s="150"/>
      <c r="R360" s="158"/>
      <c r="S360" s="158"/>
      <c r="T360" s="158"/>
      <c r="U360" s="158"/>
      <c r="V360" s="1"/>
      <c r="W360" s="1"/>
      <c r="X360" s="157"/>
      <c r="Y360" s="157"/>
      <c r="Z360" s="157"/>
      <c r="AA360" s="157"/>
      <c r="AB360" s="157"/>
      <c r="AC360" s="151"/>
      <c r="AD360" s="151"/>
      <c r="AE360" s="151"/>
      <c r="AF360" s="157"/>
      <c r="AG360" s="157"/>
      <c r="AH360" s="157"/>
      <c r="AI360" s="157"/>
      <c r="AJ360" s="157"/>
      <c r="AK360" s="157"/>
      <c r="AL360" s="157"/>
      <c r="AM360" s="157"/>
      <c r="AN360" s="159"/>
      <c r="AO360" s="159"/>
      <c r="AP360" s="160"/>
      <c r="AQ360" s="160"/>
      <c r="AR360" s="160"/>
      <c r="AS360" s="159"/>
      <c r="AT360" s="159"/>
      <c r="AU360" s="161"/>
      <c r="AV360" s="157"/>
      <c r="AW360" s="157"/>
      <c r="AX360" s="157"/>
      <c r="AY360" s="157"/>
      <c r="AZ360" s="157"/>
      <c r="BA360" s="157"/>
      <c r="BB360" s="157"/>
      <c r="BC360" s="151"/>
      <c r="BD360" s="157"/>
      <c r="BE360" s="157"/>
      <c r="BF360" s="157"/>
      <c r="BG360" s="157"/>
      <c r="BH360" s="157"/>
      <c r="BI360" s="157"/>
      <c r="BJ360" s="353"/>
      <c r="BK360" s="353"/>
      <c r="BL360" s="353"/>
      <c r="BM360" s="14"/>
      <c r="BN360" s="14"/>
      <c r="BO360" s="14"/>
    </row>
    <row r="361" spans="1:67" ht="20.100000000000001" customHeight="1">
      <c r="A361" s="157"/>
      <c r="B361" s="1"/>
      <c r="C361" s="157"/>
      <c r="D361" s="1"/>
      <c r="E361" s="150"/>
      <c r="F361" s="150"/>
      <c r="G361" s="151"/>
      <c r="H361" s="150"/>
      <c r="I361" s="150"/>
      <c r="J361" s="151"/>
      <c r="K361" s="151"/>
      <c r="L361" s="150"/>
      <c r="M361" s="151"/>
      <c r="N361" s="151"/>
      <c r="O361" s="151"/>
      <c r="P361" s="150"/>
      <c r="Q361" s="150"/>
      <c r="R361" s="158"/>
      <c r="S361" s="158"/>
      <c r="T361" s="158"/>
      <c r="U361" s="158"/>
      <c r="V361" s="1"/>
      <c r="W361" s="1"/>
      <c r="X361" s="157"/>
      <c r="Y361" s="157"/>
      <c r="Z361" s="157"/>
      <c r="AA361" s="157"/>
      <c r="AB361" s="157"/>
      <c r="AC361" s="151"/>
      <c r="AD361" s="151"/>
      <c r="AE361" s="151"/>
      <c r="AF361" s="157"/>
      <c r="AG361" s="157"/>
      <c r="AH361" s="157"/>
      <c r="AI361" s="157"/>
      <c r="AJ361" s="157"/>
      <c r="AK361" s="157"/>
      <c r="AL361" s="157"/>
      <c r="AM361" s="157"/>
      <c r="AN361" s="159"/>
      <c r="AO361" s="159"/>
      <c r="AP361" s="160"/>
      <c r="AQ361" s="160"/>
      <c r="AR361" s="160"/>
      <c r="AS361" s="159"/>
      <c r="AT361" s="159"/>
      <c r="AU361" s="161"/>
      <c r="AV361" s="157"/>
      <c r="AW361" s="157"/>
      <c r="AX361" s="157"/>
      <c r="AY361" s="157"/>
      <c r="AZ361" s="157"/>
      <c r="BA361" s="157"/>
      <c r="BB361" s="157"/>
      <c r="BC361" s="151"/>
      <c r="BD361" s="157"/>
      <c r="BE361" s="157"/>
      <c r="BF361" s="157"/>
      <c r="BG361" s="157"/>
      <c r="BH361" s="157"/>
      <c r="BI361" s="157"/>
      <c r="BJ361" s="353"/>
      <c r="BK361" s="353"/>
      <c r="BL361" s="353"/>
      <c r="BM361" s="14"/>
      <c r="BN361" s="14"/>
      <c r="BO361" s="14"/>
    </row>
    <row r="362" spans="1:67" ht="20.100000000000001" customHeight="1">
      <c r="A362" s="157"/>
      <c r="B362" s="1"/>
      <c r="C362" s="157"/>
      <c r="D362" s="1"/>
      <c r="E362" s="150"/>
      <c r="F362" s="150"/>
      <c r="G362" s="151"/>
      <c r="H362" s="150"/>
      <c r="I362" s="150"/>
      <c r="J362" s="151"/>
      <c r="K362" s="151"/>
      <c r="L362" s="150"/>
      <c r="M362" s="151"/>
      <c r="N362" s="151"/>
      <c r="O362" s="151"/>
      <c r="P362" s="150"/>
      <c r="Q362" s="150"/>
      <c r="R362" s="158"/>
      <c r="S362" s="158"/>
      <c r="T362" s="158"/>
      <c r="U362" s="158"/>
      <c r="V362" s="1"/>
      <c r="W362" s="1"/>
      <c r="X362" s="157"/>
      <c r="Y362" s="157"/>
      <c r="Z362" s="157"/>
      <c r="AA362" s="157"/>
      <c r="AB362" s="157"/>
      <c r="AC362" s="151"/>
      <c r="AD362" s="151"/>
      <c r="AE362" s="151"/>
      <c r="AF362" s="157"/>
      <c r="AG362" s="157"/>
      <c r="AH362" s="157"/>
      <c r="AI362" s="157"/>
      <c r="AJ362" s="157"/>
      <c r="AK362" s="157"/>
      <c r="AL362" s="157"/>
      <c r="AM362" s="157"/>
      <c r="AN362" s="159"/>
      <c r="AO362" s="159"/>
      <c r="AP362" s="160"/>
      <c r="AQ362" s="160"/>
      <c r="AR362" s="160"/>
      <c r="AS362" s="159"/>
      <c r="AT362" s="159"/>
      <c r="AU362" s="161"/>
      <c r="AV362" s="157"/>
      <c r="AW362" s="157"/>
      <c r="AX362" s="157"/>
      <c r="AY362" s="157"/>
      <c r="AZ362" s="157"/>
      <c r="BA362" s="157"/>
      <c r="BB362" s="157"/>
      <c r="BC362" s="151"/>
      <c r="BD362" s="157"/>
      <c r="BE362" s="157"/>
      <c r="BF362" s="157"/>
      <c r="BG362" s="157"/>
      <c r="BH362" s="157"/>
      <c r="BI362" s="157"/>
      <c r="BJ362" s="353"/>
      <c r="BK362" s="353"/>
      <c r="BL362" s="353"/>
      <c r="BM362" s="14"/>
      <c r="BN362" s="14"/>
      <c r="BO362" s="14"/>
    </row>
    <row r="363" spans="1:67" ht="20.100000000000001" customHeight="1">
      <c r="A363" s="157"/>
      <c r="B363" s="1"/>
      <c r="C363" s="157"/>
      <c r="D363" s="1"/>
      <c r="E363" s="150"/>
      <c r="F363" s="150"/>
      <c r="G363" s="151"/>
      <c r="H363" s="150"/>
      <c r="I363" s="150"/>
      <c r="J363" s="151"/>
      <c r="K363" s="151"/>
      <c r="L363" s="150"/>
      <c r="M363" s="151"/>
      <c r="N363" s="151"/>
      <c r="O363" s="151"/>
      <c r="P363" s="150"/>
      <c r="Q363" s="150"/>
      <c r="R363" s="158"/>
      <c r="S363" s="158"/>
      <c r="T363" s="158"/>
      <c r="U363" s="158"/>
      <c r="V363" s="1"/>
      <c r="W363" s="1"/>
      <c r="X363" s="157"/>
      <c r="Y363" s="157"/>
      <c r="Z363" s="157"/>
      <c r="AA363" s="157"/>
      <c r="AB363" s="157"/>
      <c r="AC363" s="151"/>
      <c r="AD363" s="151"/>
      <c r="AE363" s="151"/>
      <c r="AF363" s="157"/>
      <c r="AG363" s="157"/>
      <c r="AH363" s="157"/>
      <c r="AI363" s="157"/>
      <c r="AJ363" s="157"/>
      <c r="AK363" s="157"/>
      <c r="AL363" s="157"/>
      <c r="AM363" s="157"/>
      <c r="AN363" s="159"/>
      <c r="AO363" s="159"/>
      <c r="AP363" s="160"/>
      <c r="AQ363" s="160"/>
      <c r="AR363" s="160"/>
      <c r="AS363" s="159"/>
      <c r="AT363" s="159"/>
      <c r="AU363" s="161"/>
      <c r="AV363" s="157"/>
      <c r="AW363" s="157"/>
      <c r="AX363" s="157"/>
      <c r="AY363" s="157"/>
      <c r="AZ363" s="157"/>
      <c r="BA363" s="157"/>
      <c r="BB363" s="157"/>
      <c r="BC363" s="151"/>
      <c r="BD363" s="157"/>
      <c r="BE363" s="157"/>
      <c r="BF363" s="157"/>
      <c r="BG363" s="157"/>
      <c r="BH363" s="157"/>
      <c r="BI363" s="157"/>
      <c r="BJ363" s="353"/>
      <c r="BK363" s="353"/>
      <c r="BL363" s="353"/>
      <c r="BM363" s="14"/>
      <c r="BN363" s="14"/>
      <c r="BO363" s="14"/>
    </row>
    <row r="364" spans="1:67" ht="20.100000000000001" customHeight="1">
      <c r="A364" s="157"/>
      <c r="B364" s="1"/>
      <c r="C364" s="157"/>
      <c r="D364" s="1"/>
      <c r="E364" s="150"/>
      <c r="F364" s="150"/>
      <c r="G364" s="151"/>
      <c r="H364" s="150"/>
      <c r="I364" s="150"/>
      <c r="J364" s="151"/>
      <c r="K364" s="151"/>
      <c r="L364" s="150"/>
      <c r="M364" s="151"/>
      <c r="N364" s="151"/>
      <c r="O364" s="151"/>
      <c r="P364" s="150"/>
      <c r="Q364" s="150"/>
      <c r="R364" s="158"/>
      <c r="S364" s="158"/>
      <c r="T364" s="158"/>
      <c r="U364" s="158"/>
      <c r="V364" s="1"/>
      <c r="W364" s="1"/>
      <c r="X364" s="157"/>
      <c r="Y364" s="157"/>
      <c r="Z364" s="157"/>
      <c r="AA364" s="157"/>
      <c r="AB364" s="157"/>
      <c r="AC364" s="151"/>
      <c r="AD364" s="151"/>
      <c r="AE364" s="151"/>
      <c r="AF364" s="157"/>
      <c r="AG364" s="157"/>
      <c r="AH364" s="157"/>
      <c r="AI364" s="157"/>
      <c r="AJ364" s="157"/>
      <c r="AK364" s="157"/>
      <c r="AL364" s="157"/>
      <c r="AM364" s="157"/>
      <c r="AN364" s="159"/>
      <c r="AO364" s="159"/>
      <c r="AP364" s="160"/>
      <c r="AQ364" s="160"/>
      <c r="AR364" s="160"/>
      <c r="AS364" s="159"/>
      <c r="AT364" s="159"/>
      <c r="AU364" s="161"/>
      <c r="AV364" s="157"/>
      <c r="AW364" s="157"/>
      <c r="AX364" s="157"/>
      <c r="AY364" s="157"/>
      <c r="AZ364" s="157"/>
      <c r="BA364" s="157"/>
      <c r="BB364" s="157"/>
      <c r="BC364" s="151"/>
      <c r="BD364" s="157"/>
      <c r="BE364" s="157"/>
      <c r="BF364" s="157"/>
      <c r="BG364" s="157"/>
      <c r="BH364" s="157"/>
      <c r="BI364" s="157"/>
      <c r="BJ364" s="353"/>
      <c r="BK364" s="353"/>
      <c r="BL364" s="353"/>
      <c r="BM364" s="14"/>
      <c r="BN364" s="14"/>
      <c r="BO364" s="14"/>
    </row>
    <row r="365" spans="1:67" ht="20.100000000000001" customHeight="1">
      <c r="A365" s="157"/>
      <c r="B365" s="1"/>
      <c r="C365" s="157"/>
      <c r="D365" s="1"/>
      <c r="E365" s="150"/>
      <c r="F365" s="150"/>
      <c r="G365" s="151"/>
      <c r="H365" s="150"/>
      <c r="I365" s="150"/>
      <c r="J365" s="151"/>
      <c r="K365" s="151"/>
      <c r="L365" s="150"/>
      <c r="M365" s="151"/>
      <c r="N365" s="151"/>
      <c r="O365" s="151"/>
      <c r="P365" s="150"/>
      <c r="Q365" s="150"/>
      <c r="R365" s="158"/>
      <c r="S365" s="158"/>
      <c r="T365" s="158"/>
      <c r="U365" s="158"/>
      <c r="V365" s="1"/>
      <c r="W365" s="1"/>
      <c r="X365" s="157"/>
      <c r="Y365" s="157"/>
      <c r="Z365" s="157"/>
      <c r="AA365" s="157"/>
      <c r="AB365" s="157"/>
      <c r="AC365" s="151"/>
      <c r="AD365" s="151"/>
      <c r="AE365" s="151"/>
      <c r="AF365" s="157"/>
      <c r="AG365" s="157"/>
      <c r="AH365" s="157"/>
      <c r="AI365" s="157"/>
      <c r="AJ365" s="157"/>
      <c r="AK365" s="157"/>
      <c r="AL365" s="157"/>
      <c r="AM365" s="157"/>
      <c r="AN365" s="159"/>
      <c r="AO365" s="159"/>
      <c r="AP365" s="160"/>
      <c r="AQ365" s="160"/>
      <c r="AR365" s="160"/>
      <c r="AS365" s="159"/>
      <c r="AT365" s="159"/>
      <c r="AU365" s="161"/>
      <c r="AV365" s="157"/>
      <c r="AW365" s="157"/>
      <c r="AX365" s="157"/>
      <c r="AY365" s="157"/>
      <c r="AZ365" s="157"/>
      <c r="BA365" s="157"/>
      <c r="BB365" s="157"/>
      <c r="BC365" s="151"/>
      <c r="BD365" s="157"/>
      <c r="BE365" s="157"/>
      <c r="BF365" s="157"/>
      <c r="BG365" s="157"/>
      <c r="BH365" s="157"/>
      <c r="BI365" s="157"/>
      <c r="BJ365" s="353"/>
      <c r="BK365" s="353"/>
      <c r="BL365" s="353"/>
      <c r="BM365" s="14"/>
      <c r="BN365" s="14"/>
      <c r="BO365" s="14"/>
    </row>
    <row r="366" spans="1:67" ht="20.100000000000001" customHeight="1">
      <c r="A366" s="157"/>
      <c r="B366" s="1"/>
      <c r="C366" s="157"/>
      <c r="D366" s="1"/>
      <c r="E366" s="150"/>
      <c r="F366" s="150"/>
      <c r="G366" s="151"/>
      <c r="H366" s="150"/>
      <c r="I366" s="150"/>
      <c r="J366" s="151"/>
      <c r="K366" s="151"/>
      <c r="L366" s="150"/>
      <c r="M366" s="151"/>
      <c r="N366" s="151"/>
      <c r="O366" s="151"/>
      <c r="P366" s="150"/>
      <c r="Q366" s="150"/>
      <c r="R366" s="158"/>
      <c r="S366" s="158"/>
      <c r="T366" s="158"/>
      <c r="U366" s="158"/>
      <c r="V366" s="1"/>
      <c r="W366" s="1"/>
      <c r="X366" s="157"/>
      <c r="Y366" s="157"/>
      <c r="Z366" s="157"/>
      <c r="AA366" s="157"/>
      <c r="AB366" s="157"/>
      <c r="AC366" s="151"/>
      <c r="AD366" s="151"/>
      <c r="AE366" s="151"/>
      <c r="AF366" s="157"/>
      <c r="AG366" s="157"/>
      <c r="AH366" s="157"/>
      <c r="AI366" s="157"/>
      <c r="AJ366" s="157"/>
      <c r="AK366" s="157"/>
      <c r="AL366" s="157"/>
      <c r="AM366" s="157"/>
      <c r="AN366" s="159"/>
      <c r="AO366" s="159"/>
      <c r="AP366" s="160"/>
      <c r="AQ366" s="160"/>
      <c r="AR366" s="160"/>
      <c r="AS366" s="159"/>
      <c r="AT366" s="159"/>
      <c r="AU366" s="161"/>
      <c r="AV366" s="157"/>
      <c r="AW366" s="157"/>
      <c r="AX366" s="157"/>
      <c r="AY366" s="157"/>
      <c r="AZ366" s="157"/>
      <c r="BA366" s="157"/>
      <c r="BB366" s="157"/>
      <c r="BC366" s="151"/>
      <c r="BD366" s="157"/>
      <c r="BE366" s="157"/>
      <c r="BF366" s="157"/>
      <c r="BG366" s="157"/>
      <c r="BH366" s="157"/>
      <c r="BI366" s="157"/>
      <c r="BJ366" s="353"/>
      <c r="BK366" s="353"/>
      <c r="BL366" s="353"/>
      <c r="BM366" s="14"/>
      <c r="BN366" s="14"/>
      <c r="BO366" s="14"/>
    </row>
    <row r="367" spans="1:67" ht="20.100000000000001" customHeight="1">
      <c r="A367" s="157"/>
      <c r="B367" s="1"/>
      <c r="C367" s="157"/>
      <c r="D367" s="1"/>
      <c r="E367" s="150"/>
      <c r="F367" s="150"/>
      <c r="G367" s="151"/>
      <c r="H367" s="150"/>
      <c r="I367" s="150"/>
      <c r="J367" s="151"/>
      <c r="K367" s="151"/>
      <c r="L367" s="150"/>
      <c r="M367" s="151"/>
      <c r="N367" s="151"/>
      <c r="O367" s="151"/>
      <c r="P367" s="150"/>
      <c r="Q367" s="150"/>
      <c r="R367" s="158"/>
      <c r="S367" s="158"/>
      <c r="T367" s="158"/>
      <c r="U367" s="158"/>
      <c r="V367" s="1"/>
      <c r="W367" s="1"/>
      <c r="X367" s="157"/>
      <c r="Y367" s="157"/>
      <c r="Z367" s="157"/>
      <c r="AA367" s="157"/>
      <c r="AB367" s="157"/>
      <c r="AC367" s="151"/>
      <c r="AD367" s="151"/>
      <c r="AE367" s="151"/>
      <c r="AF367" s="157"/>
      <c r="AG367" s="157"/>
      <c r="AH367" s="157"/>
      <c r="AI367" s="157"/>
      <c r="AJ367" s="157"/>
      <c r="AK367" s="157"/>
      <c r="AL367" s="157"/>
      <c r="AM367" s="157"/>
      <c r="AN367" s="159"/>
      <c r="AO367" s="159"/>
      <c r="AP367" s="160"/>
      <c r="AQ367" s="160"/>
      <c r="AR367" s="160"/>
      <c r="AS367" s="159"/>
      <c r="AT367" s="159"/>
      <c r="AU367" s="161"/>
      <c r="AV367" s="157"/>
      <c r="AW367" s="157"/>
      <c r="AX367" s="157"/>
      <c r="AY367" s="157"/>
      <c r="AZ367" s="157"/>
      <c r="BA367" s="157"/>
      <c r="BB367" s="157"/>
      <c r="BC367" s="151"/>
      <c r="BD367" s="157"/>
      <c r="BE367" s="157"/>
      <c r="BF367" s="157"/>
      <c r="BG367" s="157"/>
      <c r="BH367" s="157"/>
      <c r="BI367" s="157"/>
      <c r="BJ367" s="353"/>
      <c r="BK367" s="353"/>
      <c r="BL367" s="353"/>
      <c r="BM367" s="14"/>
      <c r="BN367" s="14"/>
      <c r="BO367" s="14"/>
    </row>
    <row r="368" spans="1:67" ht="20.100000000000001" customHeight="1">
      <c r="A368" s="157"/>
      <c r="B368" s="1"/>
      <c r="C368" s="157"/>
      <c r="D368" s="1"/>
      <c r="E368" s="150"/>
      <c r="F368" s="150"/>
      <c r="G368" s="151"/>
      <c r="H368" s="150"/>
      <c r="I368" s="150"/>
      <c r="J368" s="151"/>
      <c r="K368" s="151"/>
      <c r="L368" s="150"/>
      <c r="M368" s="151"/>
      <c r="N368" s="151"/>
      <c r="O368" s="151"/>
      <c r="P368" s="150"/>
      <c r="Q368" s="150"/>
      <c r="R368" s="158"/>
      <c r="S368" s="158"/>
      <c r="T368" s="158"/>
      <c r="U368" s="158"/>
      <c r="V368" s="1"/>
      <c r="W368" s="1"/>
      <c r="X368" s="157"/>
      <c r="Y368" s="157"/>
      <c r="Z368" s="157"/>
      <c r="AA368" s="157"/>
      <c r="AB368" s="157"/>
      <c r="AC368" s="151"/>
      <c r="AD368" s="151"/>
      <c r="AE368" s="151"/>
      <c r="AF368" s="157"/>
      <c r="AG368" s="157"/>
      <c r="AH368" s="157"/>
      <c r="AI368" s="157"/>
      <c r="AJ368" s="157"/>
      <c r="AK368" s="157"/>
      <c r="AL368" s="157"/>
      <c r="AM368" s="157"/>
      <c r="AN368" s="159"/>
      <c r="AO368" s="159"/>
      <c r="AP368" s="160"/>
      <c r="AQ368" s="160"/>
      <c r="AR368" s="160"/>
      <c r="AS368" s="159"/>
      <c r="AT368" s="159"/>
      <c r="AU368" s="161"/>
      <c r="AV368" s="157"/>
      <c r="AW368" s="157"/>
      <c r="AX368" s="157"/>
      <c r="AY368" s="157"/>
      <c r="AZ368" s="157"/>
      <c r="BA368" s="157"/>
      <c r="BB368" s="157"/>
      <c r="BC368" s="151"/>
      <c r="BD368" s="157"/>
      <c r="BE368" s="157"/>
      <c r="BF368" s="157"/>
      <c r="BG368" s="157"/>
      <c r="BH368" s="157"/>
      <c r="BI368" s="157"/>
      <c r="BJ368" s="353"/>
      <c r="BK368" s="353"/>
      <c r="BL368" s="353"/>
      <c r="BM368" s="14"/>
      <c r="BN368" s="14"/>
      <c r="BO368" s="14"/>
    </row>
    <row r="369" spans="1:67" ht="20.100000000000001" customHeight="1">
      <c r="A369" s="157"/>
      <c r="B369" s="1"/>
      <c r="C369" s="157"/>
      <c r="D369" s="1"/>
      <c r="E369" s="150"/>
      <c r="F369" s="150"/>
      <c r="G369" s="151"/>
      <c r="H369" s="150"/>
      <c r="I369" s="150"/>
      <c r="J369" s="151"/>
      <c r="K369" s="151"/>
      <c r="L369" s="150"/>
      <c r="M369" s="151"/>
      <c r="N369" s="151"/>
      <c r="O369" s="151"/>
      <c r="P369" s="150"/>
      <c r="Q369" s="150"/>
      <c r="R369" s="158"/>
      <c r="S369" s="158"/>
      <c r="T369" s="158"/>
      <c r="U369" s="158"/>
      <c r="V369" s="1"/>
      <c r="W369" s="1"/>
      <c r="X369" s="157"/>
      <c r="Y369" s="157"/>
      <c r="Z369" s="157"/>
      <c r="AA369" s="157"/>
      <c r="AB369" s="157"/>
      <c r="AC369" s="151"/>
      <c r="AD369" s="151"/>
      <c r="AE369" s="151"/>
      <c r="AF369" s="157"/>
      <c r="AG369" s="157"/>
      <c r="AH369" s="157"/>
      <c r="AI369" s="157"/>
      <c r="AJ369" s="157"/>
      <c r="AK369" s="157"/>
      <c r="AL369" s="157"/>
      <c r="AM369" s="157"/>
      <c r="AN369" s="159"/>
      <c r="AO369" s="159"/>
      <c r="AP369" s="160"/>
      <c r="AQ369" s="160"/>
      <c r="AR369" s="160"/>
      <c r="AS369" s="159"/>
      <c r="AT369" s="159"/>
      <c r="AU369" s="161"/>
      <c r="AV369" s="157"/>
      <c r="AW369" s="157"/>
      <c r="AX369" s="157"/>
      <c r="AY369" s="157"/>
      <c r="AZ369" s="157"/>
      <c r="BA369" s="157"/>
      <c r="BB369" s="157"/>
      <c r="BC369" s="151"/>
      <c r="BD369" s="157"/>
      <c r="BE369" s="157"/>
      <c r="BF369" s="157"/>
      <c r="BG369" s="157"/>
      <c r="BH369" s="157"/>
      <c r="BI369" s="157"/>
      <c r="BJ369" s="353"/>
      <c r="BK369" s="353"/>
      <c r="BL369" s="353"/>
      <c r="BM369" s="14"/>
      <c r="BN369" s="14"/>
      <c r="BO369" s="14"/>
    </row>
    <row r="370" spans="1:67" ht="20.100000000000001" customHeight="1">
      <c r="A370" s="157"/>
      <c r="B370" s="1"/>
      <c r="C370" s="157"/>
      <c r="D370" s="1"/>
      <c r="E370" s="150"/>
      <c r="F370" s="150"/>
      <c r="G370" s="151"/>
      <c r="H370" s="150"/>
      <c r="I370" s="150"/>
      <c r="J370" s="151"/>
      <c r="K370" s="151"/>
      <c r="L370" s="150"/>
      <c r="M370" s="151"/>
      <c r="N370" s="151"/>
      <c r="O370" s="151"/>
      <c r="P370" s="150"/>
      <c r="Q370" s="150"/>
      <c r="R370" s="158"/>
      <c r="S370" s="158"/>
      <c r="T370" s="158"/>
      <c r="U370" s="158"/>
      <c r="V370" s="1"/>
      <c r="W370" s="1"/>
      <c r="X370" s="157"/>
      <c r="Y370" s="157"/>
      <c r="Z370" s="157"/>
      <c r="AA370" s="157"/>
      <c r="AB370" s="157"/>
      <c r="AC370" s="151"/>
      <c r="AD370" s="151"/>
      <c r="AE370" s="151"/>
      <c r="AF370" s="157"/>
      <c r="AG370" s="157"/>
      <c r="AH370" s="157"/>
      <c r="AI370" s="157"/>
      <c r="AJ370" s="157"/>
      <c r="AK370" s="157"/>
      <c r="AL370" s="157"/>
      <c r="AM370" s="157"/>
      <c r="AN370" s="159"/>
      <c r="AO370" s="159"/>
      <c r="AP370" s="160"/>
      <c r="AQ370" s="160"/>
      <c r="AR370" s="160"/>
      <c r="AS370" s="159"/>
      <c r="AT370" s="159"/>
      <c r="AU370" s="161"/>
      <c r="AV370" s="157"/>
      <c r="AW370" s="157"/>
      <c r="AX370" s="157"/>
      <c r="AY370" s="157"/>
      <c r="AZ370" s="157"/>
      <c r="BA370" s="157"/>
      <c r="BB370" s="157"/>
      <c r="BC370" s="151"/>
      <c r="BD370" s="157"/>
      <c r="BE370" s="157"/>
      <c r="BF370" s="157"/>
      <c r="BG370" s="157"/>
      <c r="BH370" s="157"/>
      <c r="BI370" s="157"/>
      <c r="BJ370" s="353"/>
      <c r="BK370" s="353"/>
      <c r="BL370" s="353"/>
      <c r="BM370" s="14"/>
      <c r="BN370" s="14"/>
      <c r="BO370" s="14"/>
    </row>
    <row r="371" spans="1:67" ht="20.100000000000001" customHeight="1">
      <c r="A371" s="157"/>
      <c r="B371" s="1"/>
      <c r="C371" s="157"/>
      <c r="D371" s="1"/>
      <c r="E371" s="150"/>
      <c r="F371" s="150"/>
      <c r="G371" s="151"/>
      <c r="H371" s="150"/>
      <c r="I371" s="150"/>
      <c r="J371" s="151"/>
      <c r="K371" s="151"/>
      <c r="L371" s="150"/>
      <c r="M371" s="151"/>
      <c r="N371" s="151"/>
      <c r="O371" s="151"/>
      <c r="P371" s="150"/>
      <c r="Q371" s="150"/>
      <c r="R371" s="158"/>
      <c r="S371" s="158"/>
      <c r="T371" s="158"/>
      <c r="U371" s="158"/>
      <c r="V371" s="1"/>
      <c r="W371" s="1"/>
      <c r="X371" s="157"/>
      <c r="Y371" s="157"/>
      <c r="Z371" s="157"/>
      <c r="AA371" s="157"/>
      <c r="AB371" s="157"/>
      <c r="AC371" s="151"/>
      <c r="AD371" s="151"/>
      <c r="AE371" s="151"/>
      <c r="AF371" s="157"/>
      <c r="AG371" s="157"/>
      <c r="AH371" s="157"/>
      <c r="AI371" s="157"/>
      <c r="AJ371" s="157"/>
      <c r="AK371" s="157"/>
      <c r="AL371" s="157"/>
      <c r="AM371" s="157"/>
      <c r="AN371" s="159"/>
      <c r="AO371" s="159"/>
      <c r="AP371" s="160"/>
      <c r="AQ371" s="160"/>
      <c r="AR371" s="160"/>
      <c r="AS371" s="159"/>
      <c r="AT371" s="159"/>
      <c r="AU371" s="161"/>
      <c r="AV371" s="157"/>
      <c r="AW371" s="157"/>
      <c r="AX371" s="157"/>
      <c r="AY371" s="157"/>
      <c r="AZ371" s="157"/>
      <c r="BA371" s="157"/>
      <c r="BB371" s="157"/>
      <c r="BC371" s="151"/>
      <c r="BD371" s="157"/>
      <c r="BE371" s="157"/>
      <c r="BF371" s="157"/>
      <c r="BG371" s="157"/>
      <c r="BH371" s="157"/>
      <c r="BI371" s="157"/>
      <c r="BJ371" s="353"/>
      <c r="BK371" s="353"/>
      <c r="BL371" s="353"/>
      <c r="BM371" s="14"/>
      <c r="BN371" s="14"/>
      <c r="BO371" s="14"/>
    </row>
    <row r="372" spans="1:67" ht="20.100000000000001" customHeight="1">
      <c r="A372" s="157"/>
      <c r="B372" s="1"/>
      <c r="C372" s="157"/>
      <c r="D372" s="1"/>
      <c r="E372" s="150"/>
      <c r="F372" s="150"/>
      <c r="G372" s="151"/>
      <c r="H372" s="150"/>
      <c r="I372" s="150"/>
      <c r="J372" s="151"/>
      <c r="K372" s="151"/>
      <c r="L372" s="150"/>
      <c r="M372" s="151"/>
      <c r="N372" s="151"/>
      <c r="O372" s="151"/>
      <c r="P372" s="150"/>
      <c r="Q372" s="150"/>
      <c r="R372" s="158"/>
      <c r="S372" s="158"/>
      <c r="T372" s="158"/>
      <c r="U372" s="158"/>
      <c r="V372" s="1"/>
      <c r="W372" s="1"/>
      <c r="X372" s="157"/>
      <c r="Y372" s="157"/>
      <c r="Z372" s="157"/>
      <c r="AA372" s="157"/>
      <c r="AB372" s="157"/>
      <c r="AC372" s="151"/>
      <c r="AD372" s="151"/>
      <c r="AE372" s="151"/>
      <c r="AF372" s="157"/>
      <c r="AG372" s="157"/>
      <c r="AH372" s="157"/>
      <c r="AI372" s="157"/>
      <c r="AJ372" s="157"/>
      <c r="AK372" s="157"/>
      <c r="AL372" s="157"/>
      <c r="AM372" s="157"/>
      <c r="AN372" s="159"/>
      <c r="AO372" s="159"/>
      <c r="AP372" s="160"/>
      <c r="AQ372" s="160"/>
      <c r="AR372" s="160"/>
      <c r="AS372" s="159"/>
      <c r="AT372" s="159"/>
      <c r="AU372" s="161"/>
      <c r="AV372" s="157"/>
      <c r="AW372" s="157"/>
      <c r="AX372" s="157"/>
      <c r="AY372" s="157"/>
      <c r="AZ372" s="157"/>
      <c r="BA372" s="157"/>
      <c r="BB372" s="157"/>
      <c r="BC372" s="151"/>
      <c r="BD372" s="157"/>
      <c r="BE372" s="157"/>
      <c r="BF372" s="157"/>
      <c r="BG372" s="157"/>
      <c r="BH372" s="157"/>
      <c r="BI372" s="157"/>
      <c r="BJ372" s="353"/>
      <c r="BK372" s="353"/>
      <c r="BL372" s="353"/>
      <c r="BM372" s="14"/>
      <c r="BN372" s="14"/>
      <c r="BO372" s="14"/>
    </row>
    <row r="373" spans="1:67" ht="20.100000000000001" customHeight="1">
      <c r="A373" s="157"/>
      <c r="B373" s="1"/>
      <c r="C373" s="157"/>
      <c r="D373" s="1"/>
      <c r="E373" s="150"/>
      <c r="F373" s="150"/>
      <c r="G373" s="151"/>
      <c r="H373" s="150"/>
      <c r="I373" s="150"/>
      <c r="J373" s="151"/>
      <c r="K373" s="151"/>
      <c r="L373" s="150"/>
      <c r="M373" s="151"/>
      <c r="N373" s="151"/>
      <c r="O373" s="151"/>
      <c r="P373" s="150"/>
      <c r="Q373" s="150"/>
      <c r="R373" s="158"/>
      <c r="S373" s="158"/>
      <c r="T373" s="158"/>
      <c r="U373" s="158"/>
      <c r="V373" s="1"/>
      <c r="W373" s="1"/>
      <c r="X373" s="157"/>
      <c r="Y373" s="157"/>
      <c r="Z373" s="157"/>
      <c r="AA373" s="157"/>
      <c r="AB373" s="157"/>
      <c r="AC373" s="151"/>
      <c r="AD373" s="151"/>
      <c r="AE373" s="151"/>
      <c r="AF373" s="157"/>
      <c r="AG373" s="157"/>
      <c r="AH373" s="157"/>
      <c r="AI373" s="157"/>
      <c r="AJ373" s="157"/>
      <c r="AK373" s="157"/>
      <c r="AL373" s="157"/>
      <c r="AM373" s="157"/>
      <c r="AN373" s="159"/>
      <c r="AO373" s="159"/>
      <c r="AP373" s="160"/>
      <c r="AQ373" s="160"/>
      <c r="AR373" s="160"/>
      <c r="AS373" s="159"/>
      <c r="AT373" s="159"/>
      <c r="AU373" s="161"/>
      <c r="AV373" s="157"/>
      <c r="AW373" s="157"/>
      <c r="AX373" s="157"/>
      <c r="AY373" s="157"/>
      <c r="AZ373" s="157"/>
      <c r="BA373" s="157"/>
      <c r="BB373" s="157"/>
      <c r="BC373" s="151"/>
      <c r="BD373" s="157"/>
      <c r="BE373" s="157"/>
      <c r="BF373" s="157"/>
      <c r="BG373" s="157"/>
      <c r="BH373" s="157"/>
      <c r="BI373" s="157"/>
      <c r="BJ373" s="353"/>
      <c r="BK373" s="353"/>
      <c r="BL373" s="353"/>
      <c r="BM373" s="14"/>
      <c r="BN373" s="14"/>
      <c r="BO373" s="14"/>
    </row>
    <row r="374" spans="1:67" ht="20.100000000000001" customHeight="1">
      <c r="A374" s="157"/>
      <c r="B374" s="1"/>
      <c r="C374" s="157"/>
      <c r="D374" s="1"/>
      <c r="E374" s="150"/>
      <c r="F374" s="150"/>
      <c r="G374" s="151"/>
      <c r="H374" s="150"/>
      <c r="I374" s="150"/>
      <c r="J374" s="151"/>
      <c r="K374" s="151"/>
      <c r="L374" s="150"/>
      <c r="M374" s="151"/>
      <c r="N374" s="151"/>
      <c r="O374" s="151"/>
      <c r="P374" s="150"/>
      <c r="Q374" s="150"/>
      <c r="R374" s="158"/>
      <c r="S374" s="158"/>
      <c r="T374" s="158"/>
      <c r="U374" s="158"/>
      <c r="V374" s="1"/>
      <c r="W374" s="1"/>
      <c r="X374" s="157"/>
      <c r="Y374" s="157"/>
      <c r="Z374" s="157"/>
      <c r="AA374" s="157"/>
      <c r="AB374" s="157"/>
      <c r="AC374" s="151"/>
      <c r="AD374" s="151"/>
      <c r="AE374" s="151"/>
      <c r="AF374" s="157"/>
      <c r="AG374" s="157"/>
      <c r="AH374" s="157"/>
      <c r="AI374" s="157"/>
      <c r="AJ374" s="157"/>
      <c r="AK374" s="157"/>
      <c r="AL374" s="157"/>
      <c r="AM374" s="157"/>
      <c r="AN374" s="159"/>
      <c r="AO374" s="159"/>
      <c r="AP374" s="160"/>
      <c r="AQ374" s="160"/>
      <c r="AR374" s="160"/>
      <c r="AS374" s="159"/>
      <c r="AT374" s="159"/>
      <c r="AU374" s="161"/>
      <c r="AV374" s="157"/>
      <c r="AW374" s="157"/>
      <c r="AX374" s="157"/>
      <c r="AY374" s="157"/>
      <c r="AZ374" s="157"/>
      <c r="BA374" s="157"/>
      <c r="BB374" s="157"/>
      <c r="BC374" s="151"/>
      <c r="BD374" s="157"/>
      <c r="BE374" s="157"/>
      <c r="BF374" s="157"/>
      <c r="BG374" s="157"/>
      <c r="BH374" s="157"/>
      <c r="BI374" s="157"/>
      <c r="BJ374" s="353"/>
      <c r="BK374" s="353"/>
      <c r="BL374" s="353"/>
      <c r="BM374" s="14"/>
      <c r="BN374" s="14"/>
      <c r="BO374" s="14"/>
    </row>
    <row r="375" spans="1:67" ht="20.100000000000001" customHeight="1">
      <c r="A375" s="157"/>
      <c r="B375" s="1"/>
      <c r="C375" s="157"/>
      <c r="D375" s="1"/>
      <c r="E375" s="150"/>
      <c r="F375" s="150"/>
      <c r="G375" s="151"/>
      <c r="H375" s="150"/>
      <c r="I375" s="150"/>
      <c r="J375" s="151"/>
      <c r="K375" s="151"/>
      <c r="L375" s="150"/>
      <c r="M375" s="151"/>
      <c r="N375" s="151"/>
      <c r="O375" s="151"/>
      <c r="P375" s="150"/>
      <c r="Q375" s="150"/>
      <c r="R375" s="158"/>
      <c r="S375" s="158"/>
      <c r="T375" s="158"/>
      <c r="U375" s="158"/>
      <c r="V375" s="1"/>
      <c r="W375" s="1"/>
      <c r="X375" s="157"/>
      <c r="Y375" s="157"/>
      <c r="Z375" s="157"/>
      <c r="AA375" s="157"/>
      <c r="AB375" s="157"/>
      <c r="AC375" s="151"/>
      <c r="AD375" s="151"/>
      <c r="AE375" s="151"/>
      <c r="AF375" s="157"/>
      <c r="AG375" s="157"/>
      <c r="AH375" s="157"/>
      <c r="AI375" s="157"/>
      <c r="AJ375" s="157"/>
      <c r="AK375" s="157"/>
      <c r="AL375" s="157"/>
      <c r="AM375" s="157"/>
      <c r="AN375" s="159"/>
      <c r="AO375" s="159"/>
      <c r="AP375" s="160"/>
      <c r="AQ375" s="160"/>
      <c r="AR375" s="160"/>
      <c r="AS375" s="159"/>
      <c r="AT375" s="159"/>
      <c r="AU375" s="161"/>
      <c r="AV375" s="157"/>
      <c r="AW375" s="157"/>
      <c r="AX375" s="157"/>
      <c r="AY375" s="157"/>
      <c r="AZ375" s="157"/>
      <c r="BA375" s="157"/>
      <c r="BB375" s="157"/>
      <c r="BC375" s="151"/>
      <c r="BD375" s="157"/>
      <c r="BE375" s="157"/>
      <c r="BF375" s="157"/>
      <c r="BG375" s="157"/>
      <c r="BH375" s="157"/>
      <c r="BI375" s="157"/>
      <c r="BJ375" s="353"/>
      <c r="BK375" s="353"/>
      <c r="BL375" s="353"/>
      <c r="BM375" s="14"/>
      <c r="BN375" s="14"/>
      <c r="BO375" s="14"/>
    </row>
    <row r="376" spans="1:67" ht="20.100000000000001" customHeight="1">
      <c r="A376" s="157"/>
      <c r="B376" s="1"/>
      <c r="C376" s="157"/>
      <c r="D376" s="1"/>
      <c r="E376" s="150"/>
      <c r="F376" s="150"/>
      <c r="G376" s="151"/>
      <c r="H376" s="150"/>
      <c r="I376" s="150"/>
      <c r="J376" s="151"/>
      <c r="K376" s="151"/>
      <c r="L376" s="150"/>
      <c r="M376" s="151"/>
      <c r="N376" s="151"/>
      <c r="O376" s="151"/>
      <c r="P376" s="150"/>
      <c r="Q376" s="150"/>
      <c r="R376" s="158"/>
      <c r="S376" s="158"/>
      <c r="T376" s="158"/>
      <c r="U376" s="158"/>
      <c r="V376" s="1"/>
      <c r="W376" s="1"/>
      <c r="X376" s="157"/>
      <c r="Y376" s="157"/>
      <c r="Z376" s="157"/>
      <c r="AA376" s="157"/>
      <c r="AB376" s="157"/>
      <c r="AC376" s="151"/>
      <c r="AD376" s="151"/>
      <c r="AE376" s="151"/>
      <c r="AF376" s="157"/>
      <c r="AG376" s="157"/>
      <c r="AH376" s="157"/>
      <c r="AI376" s="157"/>
      <c r="AJ376" s="157"/>
      <c r="AK376" s="157"/>
      <c r="AL376" s="157"/>
      <c r="AM376" s="157"/>
      <c r="AN376" s="159"/>
      <c r="AO376" s="159"/>
      <c r="AP376" s="160"/>
      <c r="AQ376" s="160"/>
      <c r="AR376" s="160"/>
      <c r="AS376" s="159"/>
      <c r="AT376" s="159"/>
      <c r="AU376" s="161"/>
      <c r="AV376" s="157"/>
      <c r="AW376" s="157"/>
      <c r="AX376" s="157"/>
      <c r="AY376" s="157"/>
      <c r="AZ376" s="157"/>
      <c r="BA376" s="157"/>
      <c r="BB376" s="157"/>
      <c r="BC376" s="151"/>
      <c r="BD376" s="157"/>
      <c r="BE376" s="157"/>
      <c r="BF376" s="157"/>
      <c r="BG376" s="157"/>
      <c r="BH376" s="157"/>
      <c r="BI376" s="157"/>
      <c r="BJ376" s="353"/>
      <c r="BK376" s="353"/>
      <c r="BL376" s="353"/>
      <c r="BM376" s="14"/>
      <c r="BN376" s="14"/>
      <c r="BO376" s="14"/>
    </row>
    <row r="377" spans="1:67" ht="20.100000000000001" customHeight="1">
      <c r="A377" s="157"/>
      <c r="B377" s="1"/>
      <c r="C377" s="157"/>
      <c r="D377" s="1"/>
      <c r="E377" s="150"/>
      <c r="F377" s="150"/>
      <c r="G377" s="151"/>
      <c r="H377" s="150"/>
      <c r="I377" s="150"/>
      <c r="J377" s="151"/>
      <c r="K377" s="151"/>
      <c r="L377" s="150"/>
      <c r="M377" s="151"/>
      <c r="N377" s="151"/>
      <c r="O377" s="151"/>
      <c r="P377" s="150"/>
      <c r="Q377" s="150"/>
      <c r="R377" s="158"/>
      <c r="S377" s="158"/>
      <c r="T377" s="158"/>
      <c r="U377" s="158"/>
      <c r="V377" s="1"/>
      <c r="W377" s="1"/>
      <c r="X377" s="157"/>
      <c r="Y377" s="157"/>
      <c r="Z377" s="157"/>
      <c r="AA377" s="157"/>
      <c r="AB377" s="157"/>
      <c r="AC377" s="151"/>
      <c r="AD377" s="151"/>
      <c r="AE377" s="151"/>
      <c r="AF377" s="157"/>
      <c r="AG377" s="157"/>
      <c r="AH377" s="157"/>
      <c r="AI377" s="157"/>
      <c r="AJ377" s="157"/>
      <c r="AK377" s="157"/>
      <c r="AL377" s="157"/>
      <c r="AM377" s="157"/>
      <c r="AN377" s="159"/>
      <c r="AO377" s="159"/>
      <c r="AP377" s="160"/>
      <c r="AQ377" s="160"/>
      <c r="AR377" s="160"/>
      <c r="AS377" s="159"/>
      <c r="AT377" s="159"/>
      <c r="AU377" s="161"/>
      <c r="AV377" s="157"/>
      <c r="AW377" s="157"/>
      <c r="AX377" s="157"/>
      <c r="AY377" s="157"/>
      <c r="AZ377" s="157"/>
      <c r="BA377" s="157"/>
      <c r="BB377" s="157"/>
      <c r="BC377" s="151"/>
      <c r="BD377" s="157"/>
      <c r="BE377" s="157"/>
      <c r="BF377" s="157"/>
      <c r="BG377" s="157"/>
      <c r="BH377" s="157"/>
      <c r="BI377" s="157"/>
      <c r="BJ377" s="353"/>
      <c r="BK377" s="353"/>
      <c r="BL377" s="353"/>
      <c r="BM377" s="14"/>
      <c r="BN377" s="14"/>
      <c r="BO377" s="14"/>
    </row>
    <row r="378" spans="1:67" ht="20.100000000000001" customHeight="1">
      <c r="A378" s="157"/>
      <c r="B378" s="1"/>
      <c r="C378" s="157"/>
      <c r="D378" s="1"/>
      <c r="E378" s="150"/>
      <c r="F378" s="150"/>
      <c r="G378" s="151"/>
      <c r="H378" s="150"/>
      <c r="I378" s="150"/>
      <c r="J378" s="151"/>
      <c r="K378" s="151"/>
      <c r="L378" s="150"/>
      <c r="M378" s="151"/>
      <c r="N378" s="151"/>
      <c r="O378" s="151"/>
      <c r="P378" s="150"/>
      <c r="Q378" s="150"/>
      <c r="R378" s="158"/>
      <c r="S378" s="158"/>
      <c r="T378" s="158"/>
      <c r="U378" s="158"/>
      <c r="V378" s="1"/>
      <c r="W378" s="1"/>
      <c r="X378" s="157"/>
      <c r="Y378" s="157"/>
      <c r="Z378" s="157"/>
      <c r="AA378" s="157"/>
      <c r="AB378" s="157"/>
      <c r="AC378" s="151"/>
      <c r="AD378" s="151"/>
      <c r="AE378" s="151"/>
      <c r="AF378" s="157"/>
      <c r="AG378" s="157"/>
      <c r="AH378" s="157"/>
      <c r="AI378" s="157"/>
      <c r="AJ378" s="157"/>
      <c r="AK378" s="157"/>
      <c r="AL378" s="157"/>
      <c r="AM378" s="157"/>
      <c r="AN378" s="159"/>
      <c r="AO378" s="159"/>
      <c r="AP378" s="160"/>
      <c r="AQ378" s="160"/>
      <c r="AR378" s="160"/>
      <c r="AS378" s="159"/>
      <c r="AT378" s="159"/>
      <c r="AU378" s="161"/>
      <c r="AV378" s="157"/>
      <c r="AW378" s="157"/>
      <c r="AX378" s="157"/>
      <c r="AY378" s="157"/>
      <c r="AZ378" s="157"/>
      <c r="BA378" s="157"/>
      <c r="BB378" s="157"/>
      <c r="BC378" s="151"/>
      <c r="BD378" s="157"/>
      <c r="BE378" s="157"/>
      <c r="BF378" s="157"/>
      <c r="BG378" s="157"/>
      <c r="BH378" s="157"/>
      <c r="BI378" s="157"/>
      <c r="BJ378" s="353"/>
      <c r="BK378" s="353"/>
      <c r="BL378" s="353"/>
      <c r="BM378" s="14"/>
      <c r="BN378" s="14"/>
      <c r="BO378" s="14"/>
    </row>
    <row r="379" spans="1:67" ht="20.100000000000001" customHeight="1">
      <c r="A379" s="157"/>
      <c r="B379" s="1"/>
      <c r="C379" s="157"/>
      <c r="D379" s="1"/>
      <c r="E379" s="150"/>
      <c r="F379" s="150"/>
      <c r="G379" s="151"/>
      <c r="H379" s="150"/>
      <c r="I379" s="150"/>
      <c r="J379" s="151"/>
      <c r="K379" s="151"/>
      <c r="L379" s="150"/>
      <c r="M379" s="151"/>
      <c r="N379" s="151"/>
      <c r="O379" s="151"/>
      <c r="P379" s="150"/>
      <c r="Q379" s="150"/>
      <c r="R379" s="158"/>
      <c r="S379" s="158"/>
      <c r="T379" s="158"/>
      <c r="U379" s="158"/>
      <c r="V379" s="1"/>
      <c r="W379" s="1"/>
      <c r="X379" s="157"/>
      <c r="Y379" s="157"/>
      <c r="Z379" s="157"/>
      <c r="AA379" s="157"/>
      <c r="AB379" s="157"/>
      <c r="AC379" s="151"/>
      <c r="AD379" s="151"/>
      <c r="AE379" s="151"/>
      <c r="AF379" s="157"/>
      <c r="AG379" s="157"/>
      <c r="AH379" s="157"/>
      <c r="AI379" s="157"/>
      <c r="AJ379" s="157"/>
      <c r="AK379" s="157"/>
      <c r="AL379" s="157"/>
      <c r="AM379" s="157"/>
      <c r="AN379" s="159"/>
      <c r="AO379" s="159"/>
      <c r="AP379" s="160"/>
      <c r="AQ379" s="160"/>
      <c r="AR379" s="160"/>
      <c r="AS379" s="159"/>
      <c r="AT379" s="159"/>
      <c r="AU379" s="161"/>
      <c r="AV379" s="157"/>
      <c r="AW379" s="157"/>
      <c r="AX379" s="157"/>
      <c r="AY379" s="157"/>
      <c r="AZ379" s="157"/>
      <c r="BA379" s="157"/>
      <c r="BB379" s="157"/>
      <c r="BC379" s="151"/>
      <c r="BD379" s="157"/>
      <c r="BE379" s="157"/>
      <c r="BF379" s="157"/>
      <c r="BG379" s="157"/>
      <c r="BH379" s="157"/>
      <c r="BI379" s="157"/>
      <c r="BJ379" s="353"/>
      <c r="BK379" s="353"/>
      <c r="BL379" s="353"/>
      <c r="BM379" s="14"/>
      <c r="BN379" s="14"/>
      <c r="BO379" s="14"/>
    </row>
    <row r="380" spans="1:67" ht="20.100000000000001" customHeight="1">
      <c r="A380" s="157"/>
      <c r="B380" s="1"/>
      <c r="C380" s="157"/>
      <c r="D380" s="1"/>
      <c r="E380" s="150"/>
      <c r="F380" s="150"/>
      <c r="G380" s="151"/>
      <c r="H380" s="150"/>
      <c r="I380" s="150"/>
      <c r="J380" s="151"/>
      <c r="K380" s="151"/>
      <c r="L380" s="150"/>
      <c r="M380" s="151"/>
      <c r="N380" s="151"/>
      <c r="O380" s="151"/>
      <c r="P380" s="150"/>
      <c r="Q380" s="150"/>
      <c r="R380" s="158"/>
      <c r="S380" s="158"/>
      <c r="T380" s="158"/>
      <c r="U380" s="158"/>
      <c r="V380" s="1"/>
      <c r="W380" s="1"/>
      <c r="X380" s="157"/>
      <c r="Y380" s="157"/>
      <c r="Z380" s="157"/>
      <c r="AA380" s="157"/>
      <c r="AB380" s="157"/>
      <c r="AC380" s="151"/>
      <c r="AD380" s="151"/>
      <c r="AE380" s="151"/>
      <c r="AF380" s="157"/>
      <c r="AG380" s="157"/>
      <c r="AH380" s="157"/>
      <c r="AI380" s="157"/>
      <c r="AJ380" s="157"/>
      <c r="AK380" s="157"/>
      <c r="AL380" s="157"/>
      <c r="AM380" s="157"/>
      <c r="AN380" s="159"/>
      <c r="AO380" s="159"/>
      <c r="AP380" s="160"/>
      <c r="AQ380" s="160"/>
      <c r="AR380" s="160"/>
      <c r="AS380" s="159"/>
      <c r="AT380" s="159"/>
      <c r="AU380" s="161"/>
      <c r="AV380" s="157"/>
      <c r="AW380" s="157"/>
      <c r="AX380" s="157"/>
      <c r="AY380" s="157"/>
      <c r="AZ380" s="157"/>
      <c r="BA380" s="157"/>
      <c r="BB380" s="157"/>
      <c r="BC380" s="151"/>
      <c r="BD380" s="157"/>
      <c r="BE380" s="157"/>
      <c r="BF380" s="157"/>
      <c r="BG380" s="157"/>
      <c r="BH380" s="157"/>
      <c r="BI380" s="157"/>
      <c r="BJ380" s="353"/>
      <c r="BK380" s="353"/>
      <c r="BL380" s="353"/>
      <c r="BM380" s="14"/>
      <c r="BN380" s="14"/>
      <c r="BO380" s="14"/>
    </row>
    <row r="381" spans="1:67" ht="20.100000000000001" customHeight="1">
      <c r="A381" s="157"/>
      <c r="B381" s="1"/>
      <c r="C381" s="157"/>
      <c r="D381" s="1"/>
      <c r="E381" s="150"/>
      <c r="F381" s="150"/>
      <c r="G381" s="151"/>
      <c r="H381" s="150"/>
      <c r="I381" s="150"/>
      <c r="J381" s="151"/>
      <c r="K381" s="151"/>
      <c r="L381" s="150"/>
      <c r="M381" s="151"/>
      <c r="N381" s="151"/>
      <c r="O381" s="151"/>
      <c r="P381" s="150"/>
      <c r="Q381" s="150"/>
      <c r="R381" s="158"/>
      <c r="S381" s="158"/>
      <c r="T381" s="158"/>
      <c r="U381" s="158"/>
      <c r="V381" s="1"/>
      <c r="W381" s="1"/>
      <c r="X381" s="157"/>
      <c r="Y381" s="157"/>
      <c r="Z381" s="157"/>
      <c r="AA381" s="157"/>
      <c r="AB381" s="157"/>
      <c r="AC381" s="151"/>
      <c r="AD381" s="151"/>
      <c r="AE381" s="151"/>
      <c r="AF381" s="157"/>
      <c r="AG381" s="157"/>
      <c r="AH381" s="157"/>
      <c r="AI381" s="157"/>
      <c r="AJ381" s="157"/>
      <c r="AK381" s="157"/>
      <c r="AL381" s="157"/>
      <c r="AM381" s="157"/>
      <c r="AN381" s="159"/>
      <c r="AO381" s="159"/>
      <c r="AP381" s="160"/>
      <c r="AQ381" s="160"/>
      <c r="AR381" s="160"/>
      <c r="AS381" s="159"/>
      <c r="AT381" s="159"/>
      <c r="AU381" s="161"/>
      <c r="AV381" s="157"/>
      <c r="AW381" s="157"/>
      <c r="AX381" s="157"/>
      <c r="AY381" s="157"/>
      <c r="AZ381" s="157"/>
      <c r="BA381" s="157"/>
      <c r="BB381" s="157"/>
      <c r="BC381" s="151"/>
      <c r="BD381" s="157"/>
      <c r="BE381" s="157"/>
      <c r="BF381" s="157"/>
      <c r="BG381" s="157"/>
      <c r="BH381" s="157"/>
      <c r="BI381" s="157"/>
      <c r="BJ381" s="353"/>
      <c r="BK381" s="353"/>
      <c r="BL381" s="353"/>
      <c r="BM381" s="14"/>
      <c r="BN381" s="14"/>
      <c r="BO381" s="14"/>
    </row>
    <row r="382" spans="1:67" ht="20.100000000000001" customHeight="1">
      <c r="A382" s="157"/>
      <c r="B382" s="1"/>
      <c r="C382" s="157"/>
      <c r="D382" s="1"/>
      <c r="E382" s="150"/>
      <c r="F382" s="150"/>
      <c r="G382" s="151"/>
      <c r="H382" s="150"/>
      <c r="I382" s="150"/>
      <c r="J382" s="151"/>
      <c r="K382" s="151"/>
      <c r="L382" s="150"/>
      <c r="M382" s="151"/>
      <c r="N382" s="151"/>
      <c r="O382" s="151"/>
      <c r="P382" s="150"/>
      <c r="Q382" s="150"/>
      <c r="R382" s="158"/>
      <c r="S382" s="158"/>
      <c r="T382" s="158"/>
      <c r="U382" s="158"/>
      <c r="V382" s="1"/>
      <c r="W382" s="1"/>
      <c r="X382" s="157"/>
      <c r="Y382" s="157"/>
      <c r="Z382" s="157"/>
      <c r="AA382" s="157"/>
      <c r="AB382" s="157"/>
      <c r="AC382" s="151"/>
      <c r="AD382" s="151"/>
      <c r="AE382" s="151"/>
      <c r="AF382" s="157"/>
      <c r="AG382" s="157"/>
      <c r="AH382" s="157"/>
      <c r="AI382" s="157"/>
      <c r="AJ382" s="157"/>
      <c r="AK382" s="157"/>
      <c r="AL382" s="157"/>
      <c r="AM382" s="157"/>
      <c r="AN382" s="159"/>
      <c r="AO382" s="159"/>
      <c r="AP382" s="160"/>
      <c r="AQ382" s="160"/>
      <c r="AR382" s="160"/>
      <c r="AS382" s="159"/>
      <c r="AT382" s="159"/>
      <c r="AU382" s="161"/>
      <c r="AV382" s="157"/>
      <c r="AW382" s="157"/>
      <c r="AX382" s="157"/>
      <c r="AY382" s="157"/>
      <c r="AZ382" s="157"/>
      <c r="BA382" s="157"/>
      <c r="BB382" s="157"/>
      <c r="BC382" s="151"/>
      <c r="BD382" s="157"/>
      <c r="BE382" s="157"/>
      <c r="BF382" s="157"/>
      <c r="BG382" s="157"/>
      <c r="BH382" s="157"/>
      <c r="BI382" s="157"/>
      <c r="BJ382" s="353"/>
      <c r="BK382" s="353"/>
      <c r="BL382" s="353"/>
      <c r="BM382" s="14"/>
      <c r="BN382" s="14"/>
      <c r="BO382" s="14"/>
    </row>
    <row r="383" spans="1:67" ht="20.100000000000001" customHeight="1">
      <c r="A383" s="157"/>
      <c r="B383" s="1"/>
      <c r="C383" s="157"/>
      <c r="D383" s="1"/>
      <c r="E383" s="150"/>
      <c r="F383" s="150"/>
      <c r="G383" s="151"/>
      <c r="H383" s="150"/>
      <c r="I383" s="150"/>
      <c r="J383" s="151"/>
      <c r="K383" s="151"/>
      <c r="L383" s="150"/>
      <c r="M383" s="151"/>
      <c r="N383" s="151"/>
      <c r="O383" s="151"/>
      <c r="P383" s="150"/>
      <c r="Q383" s="150"/>
      <c r="R383" s="158"/>
      <c r="S383" s="158"/>
      <c r="T383" s="158"/>
      <c r="U383" s="158"/>
      <c r="V383" s="1"/>
      <c r="W383" s="1"/>
      <c r="X383" s="157"/>
      <c r="Y383" s="157"/>
      <c r="Z383" s="157"/>
      <c r="AA383" s="157"/>
      <c r="AB383" s="157"/>
      <c r="AC383" s="151"/>
      <c r="AD383" s="151"/>
      <c r="AE383" s="151"/>
      <c r="AF383" s="157"/>
      <c r="AG383" s="157"/>
      <c r="AH383" s="157"/>
      <c r="AI383" s="157"/>
      <c r="AJ383" s="157"/>
      <c r="AK383" s="157"/>
      <c r="AL383" s="157"/>
      <c r="AM383" s="157"/>
      <c r="AN383" s="159"/>
      <c r="AO383" s="159"/>
      <c r="AP383" s="160"/>
      <c r="AQ383" s="160"/>
      <c r="AR383" s="160"/>
      <c r="AS383" s="159"/>
      <c r="AT383" s="159"/>
      <c r="AU383" s="161"/>
      <c r="AV383" s="157"/>
      <c r="AW383" s="157"/>
      <c r="AX383" s="157"/>
      <c r="AY383" s="157"/>
      <c r="AZ383" s="157"/>
      <c r="BA383" s="157"/>
      <c r="BB383" s="157"/>
      <c r="BC383" s="151"/>
      <c r="BD383" s="157"/>
      <c r="BE383" s="157"/>
      <c r="BF383" s="157"/>
      <c r="BG383" s="157"/>
      <c r="BH383" s="157"/>
      <c r="BI383" s="157"/>
      <c r="BJ383" s="353"/>
      <c r="BK383" s="353"/>
      <c r="BL383" s="353"/>
      <c r="BM383" s="14"/>
      <c r="BN383" s="14"/>
      <c r="BO383" s="14"/>
    </row>
    <row r="384" spans="1:67" ht="20.100000000000001" customHeight="1">
      <c r="A384" s="157"/>
      <c r="B384" s="1"/>
      <c r="C384" s="157"/>
      <c r="D384" s="1"/>
      <c r="E384" s="150"/>
      <c r="F384" s="150"/>
      <c r="G384" s="151"/>
      <c r="H384" s="150"/>
      <c r="I384" s="150"/>
      <c r="J384" s="151"/>
      <c r="K384" s="151"/>
      <c r="L384" s="150"/>
      <c r="M384" s="151"/>
      <c r="N384" s="151"/>
      <c r="O384" s="151"/>
      <c r="P384" s="150"/>
      <c r="Q384" s="150"/>
      <c r="R384" s="158"/>
      <c r="S384" s="158"/>
      <c r="T384" s="158"/>
      <c r="U384" s="158"/>
      <c r="V384" s="1"/>
      <c r="W384" s="1"/>
      <c r="X384" s="157"/>
      <c r="Y384" s="157"/>
      <c r="Z384" s="157"/>
      <c r="AA384" s="157"/>
      <c r="AB384" s="157"/>
      <c r="AC384" s="151"/>
      <c r="AD384" s="151"/>
      <c r="AE384" s="151"/>
      <c r="AF384" s="157"/>
      <c r="AG384" s="157"/>
      <c r="AH384" s="157"/>
      <c r="AI384" s="157"/>
      <c r="AJ384" s="157"/>
      <c r="AK384" s="157"/>
      <c r="AL384" s="157"/>
      <c r="AM384" s="157"/>
      <c r="AN384" s="159"/>
      <c r="AO384" s="159"/>
      <c r="AP384" s="160"/>
      <c r="AQ384" s="160"/>
      <c r="AR384" s="160"/>
      <c r="AS384" s="159"/>
      <c r="AT384" s="159"/>
      <c r="AU384" s="161"/>
      <c r="AV384" s="157"/>
      <c r="AW384" s="157"/>
      <c r="AX384" s="157"/>
      <c r="AY384" s="157"/>
      <c r="AZ384" s="157"/>
      <c r="BA384" s="157"/>
      <c r="BB384" s="157"/>
      <c r="BC384" s="151"/>
      <c r="BD384" s="157"/>
      <c r="BE384" s="157"/>
      <c r="BF384" s="157"/>
      <c r="BG384" s="157"/>
      <c r="BH384" s="157"/>
      <c r="BI384" s="157"/>
      <c r="BJ384" s="353"/>
      <c r="BK384" s="353"/>
      <c r="BL384" s="353"/>
      <c r="BM384" s="14"/>
      <c r="BN384" s="14"/>
      <c r="BO384" s="14"/>
    </row>
    <row r="385" spans="1:67" ht="20.100000000000001" customHeight="1">
      <c r="A385" s="157"/>
      <c r="B385" s="1"/>
      <c r="C385" s="157"/>
      <c r="D385" s="1"/>
      <c r="E385" s="150"/>
      <c r="F385" s="150"/>
      <c r="G385" s="151"/>
      <c r="H385" s="150"/>
      <c r="I385" s="150"/>
      <c r="J385" s="151"/>
      <c r="K385" s="151"/>
      <c r="L385" s="150"/>
      <c r="M385" s="151"/>
      <c r="N385" s="151"/>
      <c r="O385" s="151"/>
      <c r="P385" s="150"/>
      <c r="Q385" s="150"/>
      <c r="R385" s="158"/>
      <c r="S385" s="158"/>
      <c r="T385" s="158"/>
      <c r="U385" s="158"/>
      <c r="V385" s="1"/>
      <c r="W385" s="1"/>
      <c r="X385" s="157"/>
      <c r="Y385" s="157"/>
      <c r="Z385" s="157"/>
      <c r="AA385" s="157"/>
      <c r="AB385" s="157"/>
      <c r="AC385" s="151"/>
      <c r="AD385" s="151"/>
      <c r="AE385" s="151"/>
      <c r="AF385" s="157"/>
      <c r="AG385" s="157"/>
      <c r="AH385" s="157"/>
      <c r="AI385" s="157"/>
      <c r="AJ385" s="157"/>
      <c r="AK385" s="157"/>
      <c r="AL385" s="157"/>
      <c r="AM385" s="157"/>
      <c r="AN385" s="159"/>
      <c r="AO385" s="159"/>
      <c r="AP385" s="160"/>
      <c r="AQ385" s="160"/>
      <c r="AR385" s="160"/>
      <c r="AS385" s="159"/>
      <c r="AT385" s="159"/>
      <c r="AU385" s="161"/>
      <c r="AV385" s="157"/>
      <c r="AW385" s="157"/>
      <c r="AX385" s="157"/>
      <c r="AY385" s="157"/>
      <c r="AZ385" s="157"/>
      <c r="BA385" s="157"/>
      <c r="BB385" s="157"/>
      <c r="BC385" s="151"/>
      <c r="BD385" s="157"/>
      <c r="BE385" s="157"/>
      <c r="BF385" s="157"/>
      <c r="BG385" s="157"/>
      <c r="BH385" s="157"/>
      <c r="BI385" s="157"/>
      <c r="BJ385" s="353"/>
      <c r="BK385" s="353"/>
      <c r="BL385" s="353"/>
      <c r="BM385" s="14"/>
      <c r="BN385" s="14"/>
      <c r="BO385" s="14"/>
    </row>
    <row r="386" spans="1:67" ht="20.100000000000001" customHeight="1">
      <c r="A386" s="157"/>
      <c r="B386" s="1"/>
      <c r="C386" s="157"/>
      <c r="D386" s="1"/>
      <c r="E386" s="150"/>
      <c r="F386" s="150"/>
      <c r="G386" s="151"/>
      <c r="H386" s="150"/>
      <c r="I386" s="150"/>
      <c r="J386" s="151"/>
      <c r="K386" s="151"/>
      <c r="L386" s="150"/>
      <c r="M386" s="151"/>
      <c r="N386" s="151"/>
      <c r="O386" s="151"/>
      <c r="P386" s="150"/>
      <c r="Q386" s="150"/>
      <c r="R386" s="158"/>
      <c r="S386" s="158"/>
      <c r="T386" s="158"/>
      <c r="U386" s="158"/>
      <c r="V386" s="1"/>
      <c r="W386" s="1"/>
      <c r="X386" s="157"/>
      <c r="Y386" s="157"/>
      <c r="Z386" s="157"/>
      <c r="AA386" s="157"/>
      <c r="AB386" s="157"/>
      <c r="AC386" s="151"/>
      <c r="AD386" s="151"/>
      <c r="AE386" s="151"/>
      <c r="AF386" s="157"/>
      <c r="AG386" s="157"/>
      <c r="AH386" s="157"/>
      <c r="AI386" s="157"/>
      <c r="AJ386" s="157"/>
      <c r="AK386" s="157"/>
      <c r="AL386" s="157"/>
      <c r="AM386" s="157"/>
      <c r="AN386" s="159"/>
      <c r="AO386" s="159"/>
      <c r="AP386" s="160"/>
      <c r="AQ386" s="160"/>
      <c r="AR386" s="160"/>
      <c r="AS386" s="159"/>
      <c r="AT386" s="159"/>
      <c r="AU386" s="161"/>
      <c r="AV386" s="157"/>
      <c r="AW386" s="157"/>
      <c r="AX386" s="157"/>
      <c r="AY386" s="157"/>
      <c r="AZ386" s="157"/>
      <c r="BA386" s="157"/>
      <c r="BB386" s="157"/>
      <c r="BC386" s="151"/>
      <c r="BD386" s="157"/>
      <c r="BE386" s="157"/>
      <c r="BF386" s="157"/>
      <c r="BG386" s="157"/>
      <c r="BH386" s="157"/>
      <c r="BI386" s="157"/>
      <c r="BJ386" s="353"/>
      <c r="BK386" s="353"/>
      <c r="BL386" s="353"/>
      <c r="BM386" s="14"/>
      <c r="BN386" s="14"/>
      <c r="BO386" s="14"/>
    </row>
    <row r="387" spans="1:67" ht="20.100000000000001" customHeight="1">
      <c r="A387" s="157"/>
      <c r="B387" s="1"/>
      <c r="C387" s="157"/>
      <c r="D387" s="1"/>
      <c r="E387" s="150"/>
      <c r="F387" s="150"/>
      <c r="G387" s="151"/>
      <c r="H387" s="150"/>
      <c r="I387" s="150"/>
      <c r="J387" s="151"/>
      <c r="K387" s="151"/>
      <c r="L387" s="150"/>
      <c r="M387" s="151"/>
      <c r="N387" s="151"/>
      <c r="O387" s="151"/>
      <c r="P387" s="150"/>
      <c r="Q387" s="150"/>
      <c r="R387" s="158"/>
      <c r="S387" s="158"/>
      <c r="T387" s="158"/>
      <c r="U387" s="158"/>
      <c r="V387" s="1"/>
      <c r="W387" s="1"/>
      <c r="X387" s="157"/>
      <c r="Y387" s="157"/>
      <c r="Z387" s="157"/>
      <c r="AA387" s="157"/>
      <c r="AB387" s="157"/>
      <c r="AC387" s="151"/>
      <c r="AD387" s="151"/>
      <c r="AE387" s="151"/>
      <c r="AF387" s="157"/>
      <c r="AG387" s="157"/>
      <c r="AH387" s="157"/>
      <c r="AI387" s="157"/>
      <c r="AJ387" s="157"/>
      <c r="AK387" s="157"/>
      <c r="AL387" s="157"/>
      <c r="AM387" s="157"/>
      <c r="AN387" s="159"/>
      <c r="AO387" s="159"/>
      <c r="AP387" s="160"/>
      <c r="AQ387" s="160"/>
      <c r="AR387" s="160"/>
      <c r="AS387" s="159"/>
      <c r="AT387" s="159"/>
      <c r="AU387" s="161"/>
      <c r="AV387" s="157"/>
      <c r="AW387" s="157"/>
      <c r="AX387" s="157"/>
      <c r="AY387" s="157"/>
      <c r="AZ387" s="157"/>
      <c r="BA387" s="157"/>
      <c r="BB387" s="157"/>
      <c r="BC387" s="151"/>
      <c r="BD387" s="157"/>
      <c r="BE387" s="157"/>
      <c r="BF387" s="157"/>
      <c r="BG387" s="157"/>
      <c r="BH387" s="157"/>
      <c r="BI387" s="157"/>
      <c r="BJ387" s="353"/>
      <c r="BK387" s="353"/>
      <c r="BL387" s="353"/>
      <c r="BM387" s="14"/>
      <c r="BN387" s="14"/>
      <c r="BO387" s="14"/>
    </row>
    <row r="388" spans="1:67" ht="20.100000000000001" customHeight="1">
      <c r="A388" s="157"/>
      <c r="B388" s="1"/>
      <c r="C388" s="157"/>
      <c r="D388" s="1"/>
      <c r="E388" s="150"/>
      <c r="F388" s="150"/>
      <c r="G388" s="151"/>
      <c r="H388" s="150"/>
      <c r="I388" s="150"/>
      <c r="J388" s="151"/>
      <c r="K388" s="151"/>
      <c r="L388" s="150"/>
      <c r="M388" s="151"/>
      <c r="N388" s="151"/>
      <c r="O388" s="151"/>
      <c r="P388" s="150"/>
      <c r="Q388" s="150"/>
      <c r="R388" s="158"/>
      <c r="S388" s="158"/>
      <c r="T388" s="158"/>
      <c r="U388" s="158"/>
      <c r="V388" s="1"/>
      <c r="W388" s="1"/>
      <c r="X388" s="157"/>
      <c r="Y388" s="157"/>
      <c r="Z388" s="157"/>
      <c r="AA388" s="157"/>
      <c r="AB388" s="157"/>
      <c r="AC388" s="151"/>
      <c r="AD388" s="151"/>
      <c r="AE388" s="151"/>
      <c r="AF388" s="157"/>
      <c r="AG388" s="157"/>
      <c r="AH388" s="157"/>
      <c r="AI388" s="157"/>
      <c r="AJ388" s="157"/>
      <c r="AK388" s="157"/>
      <c r="AL388" s="157"/>
      <c r="AM388" s="157"/>
      <c r="AN388" s="159"/>
      <c r="AO388" s="159"/>
      <c r="AP388" s="160"/>
      <c r="AQ388" s="160"/>
      <c r="AR388" s="160"/>
      <c r="AS388" s="159"/>
      <c r="AT388" s="159"/>
      <c r="AU388" s="161"/>
      <c r="AV388" s="157"/>
      <c r="AW388" s="157"/>
      <c r="AX388" s="157"/>
      <c r="AY388" s="157"/>
      <c r="AZ388" s="157"/>
      <c r="BA388" s="157"/>
      <c r="BB388" s="157"/>
      <c r="BC388" s="151"/>
      <c r="BD388" s="157"/>
      <c r="BE388" s="157"/>
      <c r="BF388" s="157"/>
      <c r="BG388" s="157"/>
      <c r="BH388" s="157"/>
      <c r="BI388" s="157"/>
      <c r="BJ388" s="353"/>
      <c r="BK388" s="353"/>
      <c r="BL388" s="353"/>
      <c r="BM388" s="14"/>
      <c r="BN388" s="14"/>
      <c r="BO388" s="14"/>
    </row>
    <row r="389" spans="1:67" ht="20.100000000000001" customHeight="1">
      <c r="A389" s="157"/>
      <c r="B389" s="1"/>
      <c r="C389" s="157"/>
      <c r="D389" s="1"/>
      <c r="E389" s="150"/>
      <c r="F389" s="150"/>
      <c r="G389" s="151"/>
      <c r="H389" s="150"/>
      <c r="I389" s="150"/>
      <c r="J389" s="151"/>
      <c r="K389" s="151"/>
      <c r="L389" s="150"/>
      <c r="M389" s="151"/>
      <c r="N389" s="151"/>
      <c r="O389" s="151"/>
      <c r="P389" s="150"/>
      <c r="Q389" s="150"/>
      <c r="R389" s="158"/>
      <c r="S389" s="158"/>
      <c r="T389" s="158"/>
      <c r="U389" s="158"/>
      <c r="V389" s="1"/>
      <c r="W389" s="1"/>
      <c r="X389" s="157"/>
      <c r="Y389" s="157"/>
      <c r="Z389" s="157"/>
      <c r="AA389" s="157"/>
      <c r="AB389" s="157"/>
      <c r="AC389" s="151"/>
      <c r="AD389" s="151"/>
      <c r="AE389" s="151"/>
      <c r="AF389" s="157"/>
      <c r="AG389" s="157"/>
      <c r="AH389" s="157"/>
      <c r="AI389" s="157"/>
      <c r="AJ389" s="157"/>
      <c r="AK389" s="157"/>
      <c r="AL389" s="157"/>
      <c r="AM389" s="157"/>
      <c r="AN389" s="159"/>
      <c r="AO389" s="159"/>
      <c r="AP389" s="160"/>
      <c r="AQ389" s="160"/>
      <c r="AR389" s="160"/>
      <c r="AS389" s="159"/>
      <c r="AT389" s="159"/>
      <c r="AU389" s="161"/>
      <c r="AV389" s="157"/>
      <c r="AW389" s="157"/>
      <c r="AX389" s="157"/>
      <c r="AY389" s="157"/>
      <c r="AZ389" s="157"/>
      <c r="BA389" s="157"/>
      <c r="BB389" s="157"/>
      <c r="BC389" s="151"/>
      <c r="BD389" s="157"/>
      <c r="BE389" s="157"/>
      <c r="BF389" s="157"/>
      <c r="BG389" s="157"/>
      <c r="BH389" s="157"/>
      <c r="BI389" s="157"/>
      <c r="BJ389" s="353"/>
      <c r="BK389" s="353"/>
      <c r="BL389" s="353"/>
      <c r="BM389" s="14"/>
      <c r="BN389" s="14"/>
      <c r="BO389" s="14"/>
    </row>
    <row r="390" spans="1:67" ht="20.100000000000001" customHeight="1">
      <c r="A390" s="157"/>
      <c r="B390" s="1"/>
      <c r="C390" s="157"/>
      <c r="D390" s="1"/>
      <c r="E390" s="150"/>
      <c r="F390" s="150"/>
      <c r="G390" s="151"/>
      <c r="H390" s="150"/>
      <c r="I390" s="150"/>
      <c r="J390" s="151"/>
      <c r="K390" s="151"/>
      <c r="L390" s="150"/>
      <c r="M390" s="151"/>
      <c r="N390" s="151"/>
      <c r="O390" s="151"/>
      <c r="P390" s="150"/>
      <c r="Q390" s="150"/>
      <c r="R390" s="158"/>
      <c r="S390" s="158"/>
      <c r="T390" s="158"/>
      <c r="U390" s="158"/>
      <c r="V390" s="1"/>
      <c r="W390" s="1"/>
      <c r="X390" s="157"/>
      <c r="Y390" s="157"/>
      <c r="Z390" s="157"/>
      <c r="AA390" s="157"/>
      <c r="AB390" s="157"/>
      <c r="AC390" s="151"/>
      <c r="AD390" s="151"/>
      <c r="AE390" s="151"/>
      <c r="AF390" s="157"/>
      <c r="AG390" s="157"/>
      <c r="AH390" s="157"/>
      <c r="AI390" s="157"/>
      <c r="AJ390" s="157"/>
      <c r="AK390" s="157"/>
      <c r="AL390" s="157"/>
      <c r="AM390" s="157"/>
      <c r="AN390" s="159"/>
      <c r="AO390" s="159"/>
      <c r="AP390" s="160"/>
      <c r="AQ390" s="160"/>
      <c r="AR390" s="160"/>
      <c r="AS390" s="159"/>
      <c r="AT390" s="159"/>
      <c r="AU390" s="161"/>
      <c r="AV390" s="157"/>
      <c r="AW390" s="157"/>
      <c r="AX390" s="157"/>
      <c r="AY390" s="157"/>
      <c r="AZ390" s="157"/>
      <c r="BA390" s="157"/>
      <c r="BB390" s="157"/>
      <c r="BC390" s="151"/>
      <c r="BD390" s="157"/>
      <c r="BE390" s="157"/>
      <c r="BF390" s="157"/>
      <c r="BG390" s="157"/>
      <c r="BH390" s="157"/>
      <c r="BI390" s="157"/>
      <c r="BJ390" s="353"/>
      <c r="BK390" s="353"/>
      <c r="BL390" s="353"/>
      <c r="BM390" s="14"/>
      <c r="BN390" s="14"/>
      <c r="BO390" s="14"/>
    </row>
    <row r="391" spans="1:67" ht="20.100000000000001" customHeight="1">
      <c r="A391" s="157"/>
      <c r="B391" s="1"/>
      <c r="C391" s="157"/>
      <c r="D391" s="1"/>
      <c r="E391" s="150"/>
      <c r="F391" s="150"/>
      <c r="G391" s="151"/>
      <c r="H391" s="150"/>
      <c r="I391" s="150"/>
      <c r="J391" s="151"/>
      <c r="K391" s="151"/>
      <c r="L391" s="150"/>
      <c r="M391" s="151"/>
      <c r="N391" s="151"/>
      <c r="O391" s="151"/>
      <c r="P391" s="150"/>
      <c r="Q391" s="150"/>
      <c r="R391" s="158"/>
      <c r="S391" s="158"/>
      <c r="T391" s="158"/>
      <c r="U391" s="158"/>
      <c r="V391" s="1"/>
      <c r="W391" s="1"/>
      <c r="X391" s="157"/>
      <c r="Y391" s="157"/>
      <c r="Z391" s="157"/>
      <c r="AA391" s="157"/>
      <c r="AB391" s="157"/>
      <c r="AC391" s="151"/>
      <c r="AD391" s="151"/>
      <c r="AE391" s="151"/>
      <c r="AF391" s="157"/>
      <c r="AG391" s="157"/>
      <c r="AH391" s="157"/>
      <c r="AI391" s="157"/>
      <c r="AJ391" s="157"/>
      <c r="AK391" s="157"/>
      <c r="AL391" s="157"/>
      <c r="AM391" s="157"/>
      <c r="AN391" s="159"/>
      <c r="AO391" s="159"/>
      <c r="AP391" s="160"/>
      <c r="AQ391" s="160"/>
      <c r="AR391" s="160"/>
      <c r="AS391" s="159"/>
      <c r="AT391" s="159"/>
      <c r="AU391" s="161"/>
      <c r="AV391" s="157"/>
      <c r="AW391" s="157"/>
      <c r="AX391" s="157"/>
      <c r="AY391" s="157"/>
      <c r="AZ391" s="157"/>
      <c r="BA391" s="157"/>
      <c r="BB391" s="157"/>
      <c r="BC391" s="151"/>
      <c r="BD391" s="157"/>
      <c r="BE391" s="157"/>
      <c r="BF391" s="157"/>
      <c r="BG391" s="157"/>
      <c r="BH391" s="157"/>
      <c r="BI391" s="157"/>
      <c r="BJ391" s="353"/>
      <c r="BK391" s="353"/>
      <c r="BL391" s="353"/>
      <c r="BM391" s="14"/>
      <c r="BN391" s="14"/>
      <c r="BO391" s="14"/>
    </row>
    <row r="392" spans="1:67" ht="20.100000000000001" customHeight="1">
      <c r="A392" s="157"/>
      <c r="B392" s="1"/>
      <c r="C392" s="157"/>
      <c r="D392" s="1"/>
      <c r="E392" s="150"/>
      <c r="F392" s="150"/>
      <c r="G392" s="151"/>
      <c r="H392" s="150"/>
      <c r="I392" s="150"/>
      <c r="J392" s="151"/>
      <c r="K392" s="151"/>
      <c r="L392" s="150"/>
      <c r="M392" s="151"/>
      <c r="N392" s="151"/>
      <c r="O392" s="151"/>
      <c r="P392" s="150"/>
      <c r="Q392" s="150"/>
      <c r="R392" s="158"/>
      <c r="S392" s="158"/>
      <c r="T392" s="158"/>
      <c r="U392" s="158"/>
      <c r="V392" s="1"/>
      <c r="W392" s="1"/>
      <c r="X392" s="157"/>
      <c r="Y392" s="157"/>
      <c r="Z392" s="157"/>
      <c r="AA392" s="157"/>
      <c r="AB392" s="157"/>
      <c r="AC392" s="151"/>
      <c r="AD392" s="151"/>
      <c r="AE392" s="151"/>
      <c r="AF392" s="157"/>
      <c r="AG392" s="157"/>
      <c r="AH392" s="157"/>
      <c r="AI392" s="157"/>
      <c r="AJ392" s="157"/>
      <c r="AK392" s="157"/>
      <c r="AL392" s="157"/>
      <c r="AM392" s="157"/>
      <c r="AN392" s="159"/>
      <c r="AO392" s="159"/>
      <c r="AP392" s="160"/>
      <c r="AQ392" s="160"/>
      <c r="AR392" s="160"/>
      <c r="AS392" s="159"/>
      <c r="AT392" s="159"/>
      <c r="AU392" s="161"/>
      <c r="AV392" s="157"/>
      <c r="AW392" s="157"/>
      <c r="AX392" s="157"/>
      <c r="AY392" s="157"/>
      <c r="AZ392" s="157"/>
      <c r="BA392" s="157"/>
      <c r="BB392" s="157"/>
      <c r="BC392" s="151"/>
      <c r="BD392" s="157"/>
      <c r="BE392" s="157"/>
      <c r="BF392" s="157"/>
      <c r="BG392" s="157"/>
      <c r="BH392" s="157"/>
      <c r="BI392" s="157"/>
      <c r="BJ392" s="353"/>
      <c r="BK392" s="353"/>
      <c r="BL392" s="353"/>
      <c r="BM392" s="14"/>
      <c r="BN392" s="14"/>
      <c r="BO392" s="14"/>
    </row>
    <row r="393" spans="1:67" ht="20.100000000000001" customHeight="1">
      <c r="A393" s="157"/>
      <c r="B393" s="1"/>
      <c r="C393" s="157"/>
      <c r="D393" s="1"/>
      <c r="E393" s="150"/>
      <c r="F393" s="150"/>
      <c r="G393" s="151"/>
      <c r="H393" s="150"/>
      <c r="I393" s="150"/>
      <c r="J393" s="151"/>
      <c r="K393" s="151"/>
      <c r="L393" s="150"/>
      <c r="M393" s="151"/>
      <c r="N393" s="151"/>
      <c r="O393" s="151"/>
      <c r="P393" s="150"/>
      <c r="Q393" s="150"/>
      <c r="R393" s="158"/>
      <c r="S393" s="158"/>
      <c r="T393" s="158"/>
      <c r="U393" s="158"/>
      <c r="V393" s="1"/>
      <c r="W393" s="1"/>
      <c r="X393" s="157"/>
      <c r="Y393" s="157"/>
      <c r="Z393" s="157"/>
      <c r="AA393" s="157"/>
      <c r="AB393" s="157"/>
      <c r="AC393" s="151"/>
      <c r="AD393" s="151"/>
      <c r="AE393" s="151"/>
      <c r="AF393" s="157"/>
      <c r="AG393" s="157"/>
      <c r="AH393" s="157"/>
      <c r="AI393" s="157"/>
      <c r="AJ393" s="157"/>
      <c r="AK393" s="157"/>
      <c r="AL393" s="157"/>
      <c r="AM393" s="157"/>
      <c r="AN393" s="159"/>
      <c r="AO393" s="159"/>
      <c r="AP393" s="160"/>
      <c r="AQ393" s="160"/>
      <c r="AR393" s="160"/>
      <c r="AS393" s="159"/>
      <c r="AT393" s="159"/>
      <c r="AU393" s="161"/>
      <c r="AV393" s="157"/>
      <c r="AW393" s="157"/>
      <c r="AX393" s="157"/>
      <c r="AY393" s="157"/>
      <c r="AZ393" s="157"/>
      <c r="BA393" s="157"/>
      <c r="BB393" s="157"/>
      <c r="BC393" s="151"/>
      <c r="BD393" s="157"/>
      <c r="BE393" s="157"/>
      <c r="BF393" s="157"/>
      <c r="BG393" s="157"/>
      <c r="BH393" s="157"/>
      <c r="BI393" s="157"/>
      <c r="BJ393" s="353"/>
      <c r="BK393" s="353"/>
      <c r="BL393" s="353"/>
      <c r="BM393" s="14"/>
      <c r="BN393" s="14"/>
      <c r="BO393" s="14"/>
    </row>
    <row r="394" spans="1:67" ht="20.100000000000001" customHeight="1">
      <c r="A394" s="157"/>
      <c r="B394" s="1"/>
      <c r="C394" s="157"/>
      <c r="D394" s="1"/>
      <c r="E394" s="150"/>
      <c r="F394" s="150"/>
      <c r="G394" s="151"/>
      <c r="H394" s="150"/>
      <c r="I394" s="150"/>
      <c r="J394" s="151"/>
      <c r="K394" s="151"/>
      <c r="L394" s="150"/>
      <c r="M394" s="151"/>
      <c r="N394" s="151"/>
      <c r="O394" s="151"/>
      <c r="P394" s="150"/>
      <c r="Q394" s="150"/>
      <c r="R394" s="158"/>
      <c r="S394" s="158"/>
      <c r="T394" s="158"/>
      <c r="U394" s="158"/>
      <c r="V394" s="1"/>
      <c r="W394" s="1"/>
      <c r="X394" s="157"/>
      <c r="Y394" s="157"/>
      <c r="Z394" s="157"/>
      <c r="AA394" s="157"/>
      <c r="AB394" s="157"/>
      <c r="AC394" s="151"/>
      <c r="AD394" s="151"/>
      <c r="AE394" s="151"/>
      <c r="AF394" s="157"/>
      <c r="AG394" s="157"/>
      <c r="AH394" s="157"/>
      <c r="AI394" s="157"/>
      <c r="AJ394" s="157"/>
      <c r="AK394" s="157"/>
      <c r="AL394" s="157"/>
      <c r="AM394" s="157"/>
      <c r="AN394" s="159"/>
      <c r="AO394" s="159"/>
      <c r="AP394" s="160"/>
      <c r="AQ394" s="160"/>
      <c r="AR394" s="160"/>
      <c r="AS394" s="159"/>
      <c r="AT394" s="159"/>
      <c r="AU394" s="161"/>
      <c r="AV394" s="157"/>
      <c r="AW394" s="157"/>
      <c r="AX394" s="157"/>
      <c r="AY394" s="157"/>
      <c r="AZ394" s="157"/>
      <c r="BA394" s="157"/>
      <c r="BB394" s="157"/>
      <c r="BC394" s="151"/>
      <c r="BD394" s="157"/>
      <c r="BE394" s="157"/>
      <c r="BF394" s="157"/>
      <c r="BG394" s="157"/>
      <c r="BH394" s="157"/>
      <c r="BI394" s="157"/>
      <c r="BJ394" s="353"/>
      <c r="BK394" s="353"/>
      <c r="BL394" s="353"/>
      <c r="BM394" s="14"/>
      <c r="BN394" s="14"/>
      <c r="BO394" s="14"/>
    </row>
    <row r="395" spans="1:67" ht="20.100000000000001" customHeight="1">
      <c r="A395" s="157"/>
      <c r="B395" s="1"/>
      <c r="C395" s="157"/>
      <c r="D395" s="1"/>
      <c r="E395" s="150"/>
      <c r="F395" s="150"/>
      <c r="G395" s="151"/>
      <c r="H395" s="150"/>
      <c r="I395" s="150"/>
      <c r="J395" s="151"/>
      <c r="K395" s="151"/>
      <c r="L395" s="150"/>
      <c r="M395" s="151"/>
      <c r="N395" s="151"/>
      <c r="O395" s="151"/>
      <c r="P395" s="150"/>
      <c r="Q395" s="150"/>
      <c r="R395" s="158"/>
      <c r="S395" s="158"/>
      <c r="T395" s="158"/>
      <c r="U395" s="158"/>
      <c r="V395" s="1"/>
      <c r="W395" s="1"/>
      <c r="X395" s="157"/>
      <c r="Y395" s="157"/>
      <c r="Z395" s="157"/>
      <c r="AA395" s="157"/>
      <c r="AB395" s="157"/>
      <c r="AC395" s="151"/>
      <c r="AD395" s="151"/>
      <c r="AE395" s="151"/>
      <c r="AF395" s="157"/>
      <c r="AG395" s="157"/>
      <c r="AH395" s="157"/>
      <c r="AI395" s="157"/>
      <c r="AJ395" s="157"/>
      <c r="AK395" s="157"/>
      <c r="AL395" s="157"/>
      <c r="AM395" s="157"/>
      <c r="AN395" s="159"/>
      <c r="AO395" s="159"/>
      <c r="AP395" s="160"/>
      <c r="AQ395" s="160"/>
      <c r="AR395" s="160"/>
      <c r="AS395" s="159"/>
      <c r="AT395" s="159"/>
      <c r="AU395" s="161"/>
      <c r="AV395" s="157"/>
      <c r="AW395" s="157"/>
      <c r="AX395" s="157"/>
      <c r="AY395" s="157"/>
      <c r="AZ395" s="157"/>
      <c r="BA395" s="157"/>
      <c r="BB395" s="157"/>
      <c r="BC395" s="151"/>
      <c r="BD395" s="157"/>
      <c r="BE395" s="157"/>
      <c r="BF395" s="157"/>
      <c r="BG395" s="157"/>
      <c r="BH395" s="157"/>
      <c r="BI395" s="157"/>
      <c r="BJ395" s="353"/>
      <c r="BK395" s="353"/>
      <c r="BL395" s="353"/>
      <c r="BM395" s="14"/>
      <c r="BN395" s="14"/>
      <c r="BO395" s="14"/>
    </row>
    <row r="396" spans="1:67" ht="20.100000000000001" customHeight="1">
      <c r="A396" s="157"/>
      <c r="B396" s="1"/>
      <c r="C396" s="157"/>
      <c r="D396" s="1"/>
      <c r="E396" s="150"/>
      <c r="F396" s="150"/>
      <c r="G396" s="151"/>
      <c r="H396" s="150"/>
      <c r="I396" s="150"/>
      <c r="J396" s="151"/>
      <c r="K396" s="151"/>
      <c r="L396" s="150"/>
      <c r="M396" s="151"/>
      <c r="N396" s="151"/>
      <c r="O396" s="151"/>
      <c r="P396" s="150"/>
      <c r="Q396" s="150"/>
      <c r="R396" s="158"/>
      <c r="S396" s="158"/>
      <c r="T396" s="158"/>
      <c r="U396" s="158"/>
      <c r="V396" s="1"/>
      <c r="W396" s="1"/>
      <c r="X396" s="157"/>
      <c r="Y396" s="157"/>
      <c r="Z396" s="157"/>
      <c r="AA396" s="157"/>
      <c r="AB396" s="157"/>
      <c r="AC396" s="151"/>
      <c r="AD396" s="151"/>
      <c r="AE396" s="151"/>
      <c r="AF396" s="157"/>
      <c r="AG396" s="157"/>
      <c r="AH396" s="157"/>
      <c r="AI396" s="157"/>
      <c r="AJ396" s="157"/>
      <c r="AK396" s="157"/>
      <c r="AL396" s="157"/>
      <c r="AM396" s="157"/>
      <c r="AN396" s="159"/>
      <c r="AO396" s="159"/>
      <c r="AP396" s="160"/>
      <c r="AQ396" s="160"/>
      <c r="AR396" s="160"/>
      <c r="AS396" s="159"/>
      <c r="AT396" s="159"/>
      <c r="AU396" s="161"/>
      <c r="AV396" s="157"/>
      <c r="AW396" s="157"/>
      <c r="AX396" s="157"/>
      <c r="AY396" s="157"/>
      <c r="AZ396" s="157"/>
      <c r="BA396" s="157"/>
      <c r="BB396" s="157"/>
      <c r="BC396" s="151"/>
      <c r="BD396" s="157"/>
      <c r="BE396" s="157"/>
      <c r="BF396" s="157"/>
      <c r="BG396" s="157"/>
      <c r="BH396" s="157"/>
      <c r="BI396" s="157"/>
      <c r="BJ396" s="353"/>
      <c r="BK396" s="353"/>
      <c r="BL396" s="353"/>
      <c r="BM396" s="14"/>
      <c r="BN396" s="14"/>
      <c r="BO396" s="14"/>
    </row>
    <row r="397" spans="1:67" ht="20.100000000000001" customHeight="1">
      <c r="A397" s="157"/>
      <c r="B397" s="1"/>
      <c r="C397" s="157"/>
      <c r="D397" s="1"/>
      <c r="E397" s="150"/>
      <c r="F397" s="150"/>
      <c r="G397" s="151"/>
      <c r="H397" s="150"/>
      <c r="I397" s="150"/>
      <c r="J397" s="151"/>
      <c r="K397" s="151"/>
      <c r="L397" s="150"/>
      <c r="M397" s="151"/>
      <c r="N397" s="151"/>
      <c r="O397" s="151"/>
      <c r="P397" s="150"/>
      <c r="Q397" s="150"/>
      <c r="R397" s="158"/>
      <c r="S397" s="158"/>
      <c r="T397" s="158"/>
      <c r="U397" s="158"/>
      <c r="V397" s="1"/>
      <c r="W397" s="1"/>
      <c r="X397" s="157"/>
      <c r="Y397" s="157"/>
      <c r="Z397" s="157"/>
      <c r="AA397" s="157"/>
      <c r="AB397" s="157"/>
      <c r="AC397" s="151"/>
      <c r="AD397" s="151"/>
      <c r="AE397" s="151"/>
      <c r="AF397" s="157"/>
      <c r="AG397" s="157"/>
      <c r="AH397" s="157"/>
      <c r="AI397" s="157"/>
      <c r="AJ397" s="157"/>
      <c r="AK397" s="157"/>
      <c r="AL397" s="157"/>
      <c r="AM397" s="157"/>
      <c r="AN397" s="159"/>
      <c r="AO397" s="159"/>
      <c r="AP397" s="160"/>
      <c r="AQ397" s="160"/>
      <c r="AR397" s="160"/>
      <c r="AS397" s="159"/>
      <c r="AT397" s="159"/>
      <c r="AU397" s="161"/>
      <c r="AV397" s="157"/>
      <c r="AW397" s="157"/>
      <c r="AX397" s="157"/>
      <c r="AY397" s="157"/>
      <c r="AZ397" s="157"/>
      <c r="BA397" s="157"/>
      <c r="BB397" s="157"/>
      <c r="BC397" s="151"/>
      <c r="BD397" s="157"/>
      <c r="BE397" s="157"/>
      <c r="BF397" s="157"/>
      <c r="BG397" s="157"/>
      <c r="BH397" s="157"/>
      <c r="BI397" s="157"/>
      <c r="BJ397" s="353"/>
      <c r="BK397" s="353"/>
      <c r="BL397" s="353"/>
      <c r="BM397" s="14"/>
      <c r="BN397" s="14"/>
      <c r="BO397" s="14"/>
    </row>
    <row r="398" spans="1:67" ht="20.100000000000001" customHeight="1">
      <c r="A398" s="157"/>
      <c r="B398" s="1"/>
      <c r="C398" s="157"/>
      <c r="D398" s="1"/>
      <c r="E398" s="150"/>
      <c r="F398" s="150"/>
      <c r="G398" s="151"/>
      <c r="H398" s="150"/>
      <c r="I398" s="150"/>
      <c r="J398" s="151"/>
      <c r="K398" s="151"/>
      <c r="L398" s="150"/>
      <c r="M398" s="151"/>
      <c r="N398" s="151"/>
      <c r="O398" s="151"/>
      <c r="P398" s="150"/>
      <c r="Q398" s="150"/>
      <c r="R398" s="158"/>
      <c r="S398" s="158"/>
      <c r="T398" s="158"/>
      <c r="U398" s="158"/>
      <c r="V398" s="1"/>
      <c r="W398" s="1"/>
      <c r="X398" s="157"/>
      <c r="Y398" s="157"/>
      <c r="Z398" s="157"/>
      <c r="AA398" s="157"/>
      <c r="AB398" s="157"/>
      <c r="AC398" s="151"/>
      <c r="AD398" s="151"/>
      <c r="AE398" s="151"/>
      <c r="AF398" s="157"/>
      <c r="AG398" s="157"/>
      <c r="AH398" s="157"/>
      <c r="AI398" s="157"/>
      <c r="AJ398" s="157"/>
      <c r="AK398" s="157"/>
      <c r="AL398" s="157"/>
      <c r="AM398" s="157"/>
      <c r="AN398" s="159"/>
      <c r="AO398" s="159"/>
      <c r="AP398" s="160"/>
      <c r="AQ398" s="160"/>
      <c r="AR398" s="160"/>
      <c r="AS398" s="159"/>
      <c r="AT398" s="159"/>
      <c r="AU398" s="161"/>
      <c r="AV398" s="157"/>
      <c r="AW398" s="157"/>
      <c r="AX398" s="157"/>
      <c r="AY398" s="157"/>
      <c r="AZ398" s="157"/>
      <c r="BA398" s="157"/>
      <c r="BB398" s="157"/>
      <c r="BC398" s="151"/>
      <c r="BD398" s="157"/>
      <c r="BE398" s="157"/>
      <c r="BF398" s="157"/>
      <c r="BG398" s="157"/>
      <c r="BH398" s="157"/>
      <c r="BI398" s="157"/>
      <c r="BJ398" s="353"/>
      <c r="BK398" s="353"/>
      <c r="BL398" s="353"/>
      <c r="BM398" s="14"/>
      <c r="BN398" s="14"/>
      <c r="BO398" s="14"/>
    </row>
    <row r="399" spans="1:67" ht="20.100000000000001" customHeight="1">
      <c r="A399" s="157"/>
      <c r="B399" s="1"/>
      <c r="C399" s="157"/>
      <c r="D399" s="1"/>
      <c r="E399" s="150"/>
      <c r="F399" s="150"/>
      <c r="G399" s="151"/>
      <c r="H399" s="150"/>
      <c r="I399" s="150"/>
      <c r="J399" s="151"/>
      <c r="K399" s="151"/>
      <c r="L399" s="150"/>
      <c r="M399" s="151"/>
      <c r="N399" s="151"/>
      <c r="O399" s="151"/>
      <c r="P399" s="150"/>
      <c r="Q399" s="150"/>
      <c r="R399" s="158"/>
      <c r="S399" s="158"/>
      <c r="T399" s="158"/>
      <c r="U399" s="158"/>
      <c r="V399" s="1"/>
      <c r="W399" s="1"/>
      <c r="X399" s="157"/>
      <c r="Y399" s="157"/>
      <c r="Z399" s="157"/>
      <c r="AA399" s="157"/>
      <c r="AB399" s="157"/>
      <c r="AC399" s="151"/>
      <c r="AD399" s="151"/>
      <c r="AE399" s="151"/>
      <c r="AF399" s="157"/>
      <c r="AG399" s="157"/>
      <c r="AH399" s="157"/>
      <c r="AI399" s="157"/>
      <c r="AJ399" s="157"/>
      <c r="AK399" s="157"/>
      <c r="AL399" s="157"/>
      <c r="AM399" s="157"/>
      <c r="AN399" s="159"/>
      <c r="AO399" s="159"/>
      <c r="AP399" s="160"/>
      <c r="AQ399" s="160"/>
      <c r="AR399" s="160"/>
      <c r="AS399" s="159"/>
      <c r="AT399" s="159"/>
      <c r="AU399" s="161"/>
      <c r="AV399" s="157"/>
      <c r="AW399" s="157"/>
      <c r="AX399" s="157"/>
      <c r="AY399" s="157"/>
      <c r="AZ399" s="157"/>
      <c r="BA399" s="157"/>
      <c r="BB399" s="157"/>
      <c r="BC399" s="151"/>
      <c r="BD399" s="157"/>
      <c r="BE399" s="157"/>
      <c r="BF399" s="157"/>
      <c r="BG399" s="157"/>
      <c r="BH399" s="157"/>
      <c r="BI399" s="157"/>
      <c r="BJ399" s="353"/>
      <c r="BK399" s="353"/>
      <c r="BL399" s="353"/>
      <c r="BM399" s="14"/>
      <c r="BN399" s="14"/>
      <c r="BO399" s="14"/>
    </row>
    <row r="400" spans="1:67" ht="20.100000000000001" customHeight="1">
      <c r="A400" s="157"/>
      <c r="B400" s="1"/>
      <c r="C400" s="157"/>
      <c r="D400" s="1"/>
      <c r="E400" s="150"/>
      <c r="F400" s="150"/>
      <c r="G400" s="151"/>
      <c r="H400" s="150"/>
      <c r="I400" s="150"/>
      <c r="J400" s="151"/>
      <c r="K400" s="151"/>
      <c r="L400" s="150"/>
      <c r="M400" s="151"/>
      <c r="N400" s="151"/>
      <c r="O400" s="151"/>
      <c r="P400" s="150"/>
      <c r="Q400" s="150"/>
      <c r="R400" s="158"/>
      <c r="S400" s="158"/>
      <c r="T400" s="158"/>
      <c r="U400" s="158"/>
      <c r="V400" s="1"/>
      <c r="W400" s="1"/>
      <c r="X400" s="157"/>
      <c r="Y400" s="157"/>
      <c r="Z400" s="157"/>
      <c r="AA400" s="157"/>
      <c r="AB400" s="157"/>
      <c r="AC400" s="151"/>
      <c r="AD400" s="151"/>
      <c r="AE400" s="151"/>
      <c r="AF400" s="157"/>
      <c r="AG400" s="157"/>
      <c r="AH400" s="157"/>
      <c r="AI400" s="157"/>
      <c r="AJ400" s="157"/>
      <c r="AK400" s="157"/>
      <c r="AL400" s="157"/>
      <c r="AM400" s="157"/>
      <c r="AN400" s="159"/>
      <c r="AO400" s="159"/>
      <c r="AP400" s="160"/>
      <c r="AQ400" s="160"/>
      <c r="AR400" s="160"/>
      <c r="AS400" s="159"/>
      <c r="AT400" s="159"/>
      <c r="AU400" s="161"/>
      <c r="AV400" s="157"/>
      <c r="AW400" s="157"/>
      <c r="AX400" s="157"/>
      <c r="AY400" s="157"/>
      <c r="AZ400" s="157"/>
      <c r="BA400" s="157"/>
      <c r="BB400" s="157"/>
      <c r="BC400" s="151"/>
      <c r="BD400" s="157"/>
      <c r="BE400" s="157"/>
      <c r="BF400" s="157"/>
      <c r="BG400" s="157"/>
      <c r="BH400" s="157"/>
      <c r="BI400" s="157"/>
      <c r="BJ400" s="353"/>
      <c r="BK400" s="353"/>
      <c r="BL400" s="353"/>
      <c r="BM400" s="14"/>
      <c r="BN400" s="14"/>
      <c r="BO400" s="14"/>
    </row>
    <row r="401" spans="1:67" ht="20.100000000000001" customHeight="1">
      <c r="A401" s="157"/>
      <c r="B401" s="1"/>
      <c r="C401" s="157"/>
      <c r="D401" s="1"/>
      <c r="E401" s="150"/>
      <c r="F401" s="150"/>
      <c r="G401" s="151"/>
      <c r="H401" s="150"/>
      <c r="I401" s="150"/>
      <c r="J401" s="151"/>
      <c r="K401" s="151"/>
      <c r="L401" s="150"/>
      <c r="M401" s="151"/>
      <c r="N401" s="151"/>
      <c r="O401" s="151"/>
      <c r="P401" s="150"/>
      <c r="Q401" s="150"/>
      <c r="R401" s="158"/>
      <c r="S401" s="158"/>
      <c r="T401" s="158"/>
      <c r="U401" s="158"/>
      <c r="V401" s="1"/>
      <c r="W401" s="1"/>
      <c r="X401" s="157"/>
      <c r="Y401" s="157"/>
      <c r="Z401" s="157"/>
      <c r="AA401" s="157"/>
      <c r="AB401" s="157"/>
      <c r="AC401" s="151"/>
      <c r="AD401" s="151"/>
      <c r="AE401" s="151"/>
      <c r="AF401" s="157"/>
      <c r="AG401" s="157"/>
      <c r="AH401" s="157"/>
      <c r="AI401" s="157"/>
      <c r="AJ401" s="157"/>
      <c r="AK401" s="157"/>
      <c r="AL401" s="157"/>
      <c r="AM401" s="157"/>
      <c r="AN401" s="159"/>
      <c r="AO401" s="159"/>
      <c r="AP401" s="160"/>
      <c r="AQ401" s="160"/>
      <c r="AR401" s="160"/>
      <c r="AS401" s="159"/>
      <c r="AT401" s="159"/>
      <c r="AU401" s="161"/>
      <c r="AV401" s="157"/>
      <c r="AW401" s="157"/>
      <c r="AX401" s="157"/>
      <c r="AY401" s="157"/>
      <c r="AZ401" s="157"/>
      <c r="BA401" s="157"/>
      <c r="BB401" s="157"/>
      <c r="BC401" s="151"/>
      <c r="BD401" s="157"/>
      <c r="BE401" s="157"/>
      <c r="BF401" s="157"/>
      <c r="BG401" s="157"/>
      <c r="BH401" s="157"/>
      <c r="BI401" s="157"/>
      <c r="BJ401" s="353"/>
      <c r="BK401" s="353"/>
      <c r="BL401" s="353"/>
      <c r="BM401" s="14"/>
      <c r="BN401" s="14"/>
      <c r="BO401" s="14"/>
    </row>
    <row r="402" spans="1:67" ht="20.100000000000001" customHeight="1">
      <c r="A402" s="157"/>
      <c r="B402" s="1"/>
      <c r="C402" s="157"/>
      <c r="D402" s="1"/>
      <c r="E402" s="150"/>
      <c r="F402" s="150"/>
      <c r="G402" s="151"/>
      <c r="H402" s="150"/>
      <c r="I402" s="150"/>
      <c r="J402" s="151"/>
      <c r="K402" s="151"/>
      <c r="L402" s="150"/>
      <c r="M402" s="151"/>
      <c r="N402" s="151"/>
      <c r="O402" s="151"/>
      <c r="P402" s="150"/>
      <c r="Q402" s="150"/>
      <c r="R402" s="158"/>
      <c r="S402" s="158"/>
      <c r="T402" s="158"/>
      <c r="U402" s="158"/>
      <c r="V402" s="1"/>
      <c r="W402" s="1"/>
      <c r="X402" s="157"/>
      <c r="Y402" s="157"/>
      <c r="Z402" s="157"/>
      <c r="AA402" s="157"/>
      <c r="AB402" s="157"/>
      <c r="AC402" s="151"/>
      <c r="AD402" s="151"/>
      <c r="AE402" s="151"/>
      <c r="AF402" s="157"/>
      <c r="AG402" s="157"/>
      <c r="AH402" s="157"/>
      <c r="AI402" s="157"/>
      <c r="AJ402" s="157"/>
      <c r="AK402" s="157"/>
      <c r="AL402" s="157"/>
      <c r="AM402" s="157"/>
      <c r="AN402" s="159"/>
      <c r="AO402" s="159"/>
      <c r="AP402" s="160"/>
      <c r="AQ402" s="160"/>
      <c r="AR402" s="160"/>
      <c r="AS402" s="159"/>
      <c r="AT402" s="159"/>
      <c r="AU402" s="161"/>
      <c r="AV402" s="157"/>
      <c r="AW402" s="157"/>
      <c r="AX402" s="157"/>
      <c r="AY402" s="157"/>
      <c r="AZ402" s="157"/>
      <c r="BA402" s="157"/>
      <c r="BB402" s="157"/>
      <c r="BC402" s="151"/>
      <c r="BD402" s="157"/>
      <c r="BE402" s="157"/>
      <c r="BF402" s="157"/>
      <c r="BG402" s="157"/>
      <c r="BH402" s="157"/>
      <c r="BI402" s="157"/>
      <c r="BJ402" s="353"/>
      <c r="BK402" s="353"/>
      <c r="BL402" s="353"/>
      <c r="BM402" s="14"/>
      <c r="BN402" s="14"/>
      <c r="BO402" s="14"/>
    </row>
    <row r="403" spans="1:67" ht="20.100000000000001" customHeight="1">
      <c r="A403" s="157"/>
      <c r="B403" s="1"/>
      <c r="C403" s="157"/>
      <c r="D403" s="1"/>
      <c r="E403" s="150"/>
      <c r="F403" s="150"/>
      <c r="G403" s="151"/>
      <c r="H403" s="150"/>
      <c r="I403" s="150"/>
      <c r="J403" s="151"/>
      <c r="K403" s="151"/>
      <c r="L403" s="150"/>
      <c r="M403" s="151"/>
      <c r="N403" s="151"/>
      <c r="O403" s="151"/>
      <c r="P403" s="150"/>
      <c r="Q403" s="150"/>
      <c r="R403" s="158"/>
      <c r="S403" s="158"/>
      <c r="T403" s="158"/>
      <c r="U403" s="158"/>
      <c r="V403" s="1"/>
      <c r="W403" s="1"/>
      <c r="X403" s="157"/>
      <c r="Y403" s="157"/>
      <c r="Z403" s="157"/>
      <c r="AA403" s="157"/>
      <c r="AB403" s="157"/>
      <c r="AC403" s="151"/>
      <c r="AD403" s="151"/>
      <c r="AE403" s="151"/>
      <c r="AF403" s="157"/>
      <c r="AG403" s="157"/>
      <c r="AH403" s="157"/>
      <c r="AI403" s="157"/>
      <c r="AJ403" s="157"/>
      <c r="AK403" s="157"/>
      <c r="AL403" s="157"/>
      <c r="AM403" s="157"/>
      <c r="AN403" s="159"/>
      <c r="AO403" s="159"/>
      <c r="AP403" s="160"/>
      <c r="AQ403" s="160"/>
      <c r="AR403" s="160"/>
      <c r="AS403" s="159"/>
      <c r="AT403" s="159"/>
      <c r="AU403" s="161"/>
      <c r="AV403" s="157"/>
      <c r="AW403" s="157"/>
      <c r="AX403" s="157"/>
      <c r="AY403" s="157"/>
      <c r="AZ403" s="157"/>
      <c r="BA403" s="157"/>
      <c r="BB403" s="157"/>
      <c r="BC403" s="151"/>
      <c r="BD403" s="157"/>
      <c r="BE403" s="157"/>
      <c r="BF403" s="157"/>
      <c r="BG403" s="157"/>
      <c r="BH403" s="157"/>
      <c r="BI403" s="157"/>
      <c r="BJ403" s="353"/>
      <c r="BK403" s="353"/>
      <c r="BL403" s="353"/>
      <c r="BM403" s="14"/>
      <c r="BN403" s="14"/>
      <c r="BO403" s="14"/>
    </row>
    <row r="404" spans="1:67" ht="20.100000000000001" customHeight="1">
      <c r="A404" s="157"/>
      <c r="B404" s="1"/>
      <c r="C404" s="157"/>
      <c r="D404" s="1"/>
      <c r="E404" s="150"/>
      <c r="F404" s="150"/>
      <c r="G404" s="151"/>
      <c r="H404" s="150"/>
      <c r="I404" s="150"/>
      <c r="J404" s="151"/>
      <c r="K404" s="151"/>
      <c r="L404" s="150"/>
      <c r="M404" s="151"/>
      <c r="N404" s="151"/>
      <c r="O404" s="151"/>
      <c r="P404" s="150"/>
      <c r="Q404" s="150"/>
      <c r="R404" s="158"/>
      <c r="S404" s="158"/>
      <c r="T404" s="158"/>
      <c r="U404" s="158"/>
      <c r="V404" s="1"/>
      <c r="W404" s="1"/>
      <c r="X404" s="157"/>
      <c r="Y404" s="157"/>
      <c r="Z404" s="157"/>
      <c r="AA404" s="157"/>
      <c r="AB404" s="157"/>
      <c r="AC404" s="151"/>
      <c r="AD404" s="151"/>
      <c r="AE404" s="151"/>
      <c r="AF404" s="157"/>
      <c r="AG404" s="157"/>
      <c r="AH404" s="157"/>
      <c r="AI404" s="157"/>
      <c r="AJ404" s="157"/>
      <c r="AK404" s="157"/>
      <c r="AL404" s="157"/>
      <c r="AM404" s="157"/>
      <c r="AN404" s="159"/>
      <c r="AO404" s="159"/>
      <c r="AP404" s="160"/>
      <c r="AQ404" s="160"/>
      <c r="AR404" s="160"/>
      <c r="AS404" s="159"/>
      <c r="AT404" s="159"/>
      <c r="AU404" s="161"/>
      <c r="AV404" s="157"/>
      <c r="AW404" s="157"/>
      <c r="AX404" s="157"/>
      <c r="AY404" s="157"/>
      <c r="AZ404" s="157"/>
      <c r="BA404" s="157"/>
      <c r="BB404" s="157"/>
      <c r="BC404" s="151"/>
      <c r="BD404" s="157"/>
      <c r="BE404" s="157"/>
      <c r="BF404" s="157"/>
      <c r="BG404" s="157"/>
      <c r="BH404" s="157"/>
      <c r="BI404" s="157"/>
      <c r="BJ404" s="353"/>
      <c r="BK404" s="353"/>
      <c r="BL404" s="353"/>
      <c r="BM404" s="14"/>
      <c r="BN404" s="14"/>
      <c r="BO404" s="14"/>
    </row>
    <row r="405" spans="1:67" ht="20.100000000000001" customHeight="1">
      <c r="A405" s="157"/>
      <c r="B405" s="1"/>
      <c r="C405" s="157"/>
      <c r="D405" s="1"/>
      <c r="E405" s="150"/>
      <c r="F405" s="150"/>
      <c r="G405" s="151"/>
      <c r="H405" s="150"/>
      <c r="I405" s="150"/>
      <c r="J405" s="151"/>
      <c r="K405" s="151"/>
      <c r="L405" s="150"/>
      <c r="M405" s="151"/>
      <c r="N405" s="151"/>
      <c r="O405" s="151"/>
      <c r="P405" s="150"/>
      <c r="Q405" s="150"/>
      <c r="R405" s="158"/>
      <c r="S405" s="158"/>
      <c r="T405" s="158"/>
      <c r="U405" s="158"/>
      <c r="V405" s="1"/>
      <c r="W405" s="1"/>
      <c r="X405" s="157"/>
      <c r="Y405" s="157"/>
      <c r="Z405" s="157"/>
      <c r="AA405" s="157"/>
      <c r="AB405" s="157"/>
      <c r="AC405" s="151"/>
      <c r="AD405" s="151"/>
      <c r="AE405" s="151"/>
      <c r="AF405" s="157"/>
      <c r="AG405" s="157"/>
      <c r="AH405" s="157"/>
      <c r="AI405" s="157"/>
      <c r="AJ405" s="157"/>
      <c r="AK405" s="157"/>
      <c r="AL405" s="157"/>
      <c r="AM405" s="157"/>
      <c r="AN405" s="159"/>
      <c r="AO405" s="159"/>
      <c r="AP405" s="160"/>
      <c r="AQ405" s="160"/>
      <c r="AR405" s="160"/>
      <c r="AS405" s="159"/>
      <c r="AT405" s="159"/>
      <c r="AU405" s="161"/>
      <c r="AV405" s="157"/>
      <c r="AW405" s="157"/>
      <c r="AX405" s="157"/>
      <c r="AY405" s="157"/>
      <c r="AZ405" s="157"/>
      <c r="BA405" s="157"/>
      <c r="BB405" s="157"/>
      <c r="BC405" s="151"/>
      <c r="BD405" s="157"/>
      <c r="BE405" s="157"/>
      <c r="BF405" s="157"/>
      <c r="BG405" s="157"/>
      <c r="BH405" s="157"/>
      <c r="BI405" s="157"/>
      <c r="BJ405" s="353"/>
      <c r="BK405" s="353"/>
      <c r="BL405" s="353"/>
      <c r="BM405" s="14"/>
      <c r="BN405" s="14"/>
      <c r="BO405" s="14"/>
    </row>
    <row r="406" spans="1:67" ht="20.100000000000001" customHeight="1">
      <c r="A406" s="157"/>
      <c r="B406" s="1"/>
      <c r="C406" s="157"/>
      <c r="D406" s="1"/>
      <c r="E406" s="150"/>
      <c r="F406" s="150"/>
      <c r="G406" s="151"/>
      <c r="H406" s="150"/>
      <c r="I406" s="150"/>
      <c r="J406" s="151"/>
      <c r="K406" s="151"/>
      <c r="L406" s="150"/>
      <c r="M406" s="151"/>
      <c r="N406" s="151"/>
      <c r="O406" s="151"/>
      <c r="P406" s="150"/>
      <c r="Q406" s="150"/>
      <c r="R406" s="158"/>
      <c r="S406" s="158"/>
      <c r="T406" s="158"/>
      <c r="U406" s="158"/>
      <c r="V406" s="1"/>
      <c r="W406" s="1"/>
      <c r="X406" s="157"/>
      <c r="Y406" s="157"/>
      <c r="Z406" s="157"/>
      <c r="AA406" s="157"/>
      <c r="AB406" s="157"/>
      <c r="AC406" s="151"/>
      <c r="AD406" s="151"/>
      <c r="AE406" s="151"/>
      <c r="AF406" s="157"/>
      <c r="AG406" s="157"/>
      <c r="AH406" s="157"/>
      <c r="AI406" s="157"/>
      <c r="AJ406" s="157"/>
      <c r="AK406" s="157"/>
      <c r="AL406" s="157"/>
      <c r="AM406" s="157"/>
      <c r="AN406" s="159"/>
      <c r="AO406" s="159"/>
      <c r="AP406" s="160"/>
      <c r="AQ406" s="160"/>
      <c r="AR406" s="160"/>
      <c r="AS406" s="159"/>
      <c r="AT406" s="159"/>
      <c r="AU406" s="161"/>
      <c r="AV406" s="157"/>
      <c r="AW406" s="157"/>
      <c r="AX406" s="157"/>
      <c r="AY406" s="157"/>
      <c r="AZ406" s="157"/>
      <c r="BA406" s="157"/>
      <c r="BB406" s="157"/>
      <c r="BC406" s="151"/>
      <c r="BD406" s="157"/>
      <c r="BE406" s="157"/>
      <c r="BF406" s="157"/>
      <c r="BG406" s="157"/>
      <c r="BH406" s="157"/>
      <c r="BI406" s="157"/>
      <c r="BJ406" s="353"/>
      <c r="BK406" s="353"/>
      <c r="BL406" s="353"/>
      <c r="BM406" s="14"/>
      <c r="BN406" s="14"/>
      <c r="BO406" s="14"/>
    </row>
    <row r="407" spans="1:67" ht="20.100000000000001" customHeight="1">
      <c r="A407" s="157"/>
      <c r="B407" s="1"/>
      <c r="C407" s="157"/>
      <c r="D407" s="1"/>
      <c r="E407" s="150"/>
      <c r="F407" s="150"/>
      <c r="G407" s="151"/>
      <c r="H407" s="150"/>
      <c r="I407" s="150"/>
      <c r="J407" s="151"/>
      <c r="K407" s="151"/>
      <c r="L407" s="150"/>
      <c r="M407" s="151"/>
      <c r="N407" s="151"/>
      <c r="O407" s="151"/>
      <c r="P407" s="150"/>
      <c r="Q407" s="150"/>
      <c r="R407" s="158"/>
      <c r="S407" s="158"/>
      <c r="T407" s="158"/>
      <c r="U407" s="158"/>
      <c r="V407" s="1"/>
      <c r="W407" s="1"/>
      <c r="X407" s="157"/>
      <c r="Y407" s="157"/>
      <c r="Z407" s="157"/>
      <c r="AA407" s="157"/>
      <c r="AB407" s="157"/>
      <c r="AC407" s="151"/>
      <c r="AD407" s="151"/>
      <c r="AE407" s="151"/>
      <c r="AF407" s="157"/>
      <c r="AG407" s="157"/>
      <c r="AH407" s="157"/>
      <c r="AI407" s="157"/>
      <c r="AJ407" s="157"/>
      <c r="AK407" s="157"/>
      <c r="AL407" s="157"/>
      <c r="AM407" s="157"/>
      <c r="AN407" s="159"/>
      <c r="AO407" s="159"/>
      <c r="AP407" s="160"/>
      <c r="AQ407" s="160"/>
      <c r="AR407" s="160"/>
      <c r="AS407" s="159"/>
      <c r="AT407" s="159"/>
      <c r="AU407" s="161"/>
      <c r="AV407" s="157"/>
      <c r="AW407" s="157"/>
      <c r="AX407" s="157"/>
      <c r="AY407" s="157"/>
      <c r="AZ407" s="157"/>
      <c r="BA407" s="157"/>
      <c r="BB407" s="157"/>
      <c r="BC407" s="151"/>
      <c r="BD407" s="157"/>
      <c r="BE407" s="157"/>
      <c r="BF407" s="157"/>
      <c r="BG407" s="157"/>
      <c r="BH407" s="157"/>
      <c r="BI407" s="157"/>
      <c r="BJ407" s="353"/>
      <c r="BK407" s="353"/>
      <c r="BL407" s="353"/>
      <c r="BM407" s="14"/>
      <c r="BN407" s="14"/>
      <c r="BO407" s="14"/>
    </row>
    <row r="408" spans="1:67" ht="20.100000000000001" customHeight="1">
      <c r="A408" s="157"/>
      <c r="B408" s="1"/>
      <c r="C408" s="157"/>
      <c r="D408" s="1"/>
      <c r="E408" s="150"/>
      <c r="F408" s="150"/>
      <c r="G408" s="151"/>
      <c r="H408" s="150"/>
      <c r="I408" s="150"/>
      <c r="J408" s="151"/>
      <c r="K408" s="151"/>
      <c r="L408" s="150"/>
      <c r="M408" s="151"/>
      <c r="N408" s="151"/>
      <c r="O408" s="151"/>
      <c r="P408" s="150"/>
      <c r="Q408" s="150"/>
      <c r="R408" s="158"/>
      <c r="S408" s="158"/>
      <c r="T408" s="158"/>
      <c r="U408" s="158"/>
      <c r="V408" s="1"/>
      <c r="W408" s="1"/>
      <c r="X408" s="157"/>
      <c r="Y408" s="157"/>
      <c r="Z408" s="157"/>
      <c r="AA408" s="157"/>
      <c r="AB408" s="157"/>
      <c r="AC408" s="151"/>
      <c r="AD408" s="151"/>
      <c r="AE408" s="151"/>
      <c r="AF408" s="157"/>
      <c r="AG408" s="157"/>
      <c r="AH408" s="157"/>
      <c r="AI408" s="157"/>
      <c r="AJ408" s="157"/>
      <c r="AK408" s="157"/>
      <c r="AL408" s="157"/>
      <c r="AM408" s="157"/>
      <c r="AN408" s="159"/>
      <c r="AO408" s="159"/>
      <c r="AP408" s="160"/>
      <c r="AQ408" s="160"/>
      <c r="AR408" s="160"/>
      <c r="AS408" s="159"/>
      <c r="AT408" s="159"/>
      <c r="AU408" s="161"/>
      <c r="AV408" s="157"/>
      <c r="AW408" s="157"/>
      <c r="AX408" s="157"/>
      <c r="AY408" s="157"/>
      <c r="AZ408" s="157"/>
      <c r="BA408" s="157"/>
      <c r="BB408" s="157"/>
      <c r="BC408" s="151"/>
      <c r="BD408" s="157"/>
      <c r="BE408" s="157"/>
      <c r="BF408" s="157"/>
      <c r="BG408" s="157"/>
      <c r="BH408" s="157"/>
      <c r="BI408" s="157"/>
      <c r="BJ408" s="353"/>
      <c r="BK408" s="353"/>
      <c r="BL408" s="353"/>
      <c r="BM408" s="14"/>
      <c r="BN408" s="14"/>
      <c r="BO408" s="14"/>
    </row>
    <row r="409" spans="1:67" ht="20.100000000000001" customHeight="1">
      <c r="A409" s="157"/>
      <c r="B409" s="1"/>
      <c r="C409" s="157"/>
      <c r="D409" s="1"/>
      <c r="E409" s="150"/>
      <c r="F409" s="150"/>
      <c r="G409" s="151"/>
      <c r="H409" s="150"/>
      <c r="I409" s="150"/>
      <c r="J409" s="151"/>
      <c r="K409" s="151"/>
      <c r="L409" s="150"/>
      <c r="M409" s="151"/>
      <c r="N409" s="151"/>
      <c r="O409" s="151"/>
      <c r="P409" s="150"/>
      <c r="Q409" s="150"/>
      <c r="R409" s="158"/>
      <c r="S409" s="158"/>
      <c r="T409" s="158"/>
      <c r="U409" s="158"/>
      <c r="V409" s="1"/>
      <c r="W409" s="1"/>
      <c r="X409" s="157"/>
      <c r="Y409" s="157"/>
      <c r="Z409" s="157"/>
      <c r="AA409" s="157"/>
      <c r="AB409" s="157"/>
      <c r="AC409" s="151"/>
      <c r="AD409" s="151"/>
      <c r="AE409" s="151"/>
      <c r="AF409" s="157"/>
      <c r="AG409" s="157"/>
      <c r="AH409" s="157"/>
      <c r="AI409" s="157"/>
      <c r="AJ409" s="157"/>
      <c r="AK409" s="157"/>
      <c r="AL409" s="157"/>
      <c r="AM409" s="157"/>
      <c r="AN409" s="159"/>
      <c r="AO409" s="159"/>
      <c r="AP409" s="160"/>
      <c r="AQ409" s="160"/>
      <c r="AR409" s="160"/>
      <c r="AS409" s="159"/>
      <c r="AT409" s="159"/>
      <c r="AU409" s="161"/>
      <c r="AV409" s="157"/>
      <c r="AW409" s="157"/>
      <c r="AX409" s="157"/>
      <c r="AY409" s="157"/>
      <c r="AZ409" s="157"/>
      <c r="BA409" s="157"/>
      <c r="BB409" s="157"/>
      <c r="BC409" s="151"/>
      <c r="BD409" s="157"/>
      <c r="BE409" s="157"/>
      <c r="BF409" s="157"/>
      <c r="BG409" s="157"/>
      <c r="BH409" s="157"/>
      <c r="BI409" s="157"/>
      <c r="BJ409" s="353"/>
      <c r="BK409" s="353"/>
      <c r="BL409" s="353"/>
      <c r="BM409" s="14"/>
      <c r="BN409" s="14"/>
      <c r="BO409" s="14"/>
    </row>
    <row r="410" spans="1:67" ht="20.100000000000001" customHeight="1">
      <c r="A410" s="157"/>
      <c r="B410" s="1"/>
      <c r="C410" s="157"/>
      <c r="D410" s="1"/>
      <c r="E410" s="150"/>
      <c r="F410" s="150"/>
      <c r="G410" s="151"/>
      <c r="H410" s="150"/>
      <c r="I410" s="150"/>
      <c r="J410" s="151"/>
      <c r="K410" s="151"/>
      <c r="L410" s="150"/>
      <c r="M410" s="151"/>
      <c r="N410" s="151"/>
      <c r="O410" s="151"/>
      <c r="P410" s="150"/>
      <c r="Q410" s="150"/>
      <c r="R410" s="158"/>
      <c r="S410" s="158"/>
      <c r="T410" s="158"/>
      <c r="U410" s="158"/>
      <c r="V410" s="1"/>
      <c r="W410" s="1"/>
      <c r="X410" s="157"/>
      <c r="Y410" s="157"/>
      <c r="Z410" s="157"/>
      <c r="AA410" s="157"/>
      <c r="AB410" s="157"/>
      <c r="AC410" s="151"/>
      <c r="AD410" s="151"/>
      <c r="AE410" s="151"/>
      <c r="AF410" s="157"/>
      <c r="AG410" s="157"/>
      <c r="AH410" s="157"/>
      <c r="AI410" s="157"/>
      <c r="AJ410" s="157"/>
      <c r="AK410" s="157"/>
      <c r="AL410" s="157"/>
      <c r="AM410" s="157"/>
      <c r="AN410" s="159"/>
      <c r="AO410" s="159"/>
      <c r="AP410" s="160"/>
      <c r="AQ410" s="160"/>
      <c r="AR410" s="160"/>
      <c r="AS410" s="159"/>
      <c r="AT410" s="159"/>
      <c r="AU410" s="161"/>
      <c r="AV410" s="157"/>
      <c r="AW410" s="157"/>
      <c r="AX410" s="157"/>
      <c r="AY410" s="157"/>
      <c r="AZ410" s="157"/>
      <c r="BA410" s="157"/>
      <c r="BB410" s="157"/>
      <c r="BC410" s="151"/>
      <c r="BD410" s="157"/>
      <c r="BE410" s="157"/>
      <c r="BF410" s="157"/>
      <c r="BG410" s="157"/>
      <c r="BH410" s="157"/>
      <c r="BI410" s="157"/>
      <c r="BJ410" s="353"/>
      <c r="BK410" s="353"/>
      <c r="BL410" s="353"/>
      <c r="BM410" s="14"/>
      <c r="BN410" s="14"/>
      <c r="BO410" s="14"/>
    </row>
    <row r="411" spans="1:67" ht="20.100000000000001" customHeight="1">
      <c r="A411" s="157"/>
      <c r="B411" s="1"/>
      <c r="C411" s="157"/>
      <c r="D411" s="1"/>
      <c r="E411" s="150"/>
      <c r="F411" s="150"/>
      <c r="G411" s="151"/>
      <c r="H411" s="150"/>
      <c r="I411" s="150"/>
      <c r="J411" s="151"/>
      <c r="K411" s="151"/>
      <c r="L411" s="150"/>
      <c r="M411" s="151"/>
      <c r="N411" s="151"/>
      <c r="O411" s="151"/>
      <c r="P411" s="150"/>
      <c r="Q411" s="150"/>
      <c r="R411" s="158"/>
      <c r="S411" s="158"/>
      <c r="T411" s="158"/>
      <c r="U411" s="158"/>
      <c r="V411" s="1"/>
      <c r="W411" s="1"/>
      <c r="X411" s="157"/>
      <c r="Y411" s="157"/>
      <c r="Z411" s="157"/>
      <c r="AA411" s="157"/>
      <c r="AB411" s="157"/>
      <c r="AC411" s="151"/>
      <c r="AD411" s="151"/>
      <c r="AE411" s="151"/>
      <c r="AF411" s="157"/>
      <c r="AG411" s="157"/>
      <c r="AH411" s="157"/>
      <c r="AI411" s="157"/>
      <c r="AJ411" s="157"/>
      <c r="AK411" s="157"/>
      <c r="AL411" s="157"/>
      <c r="AM411" s="157"/>
      <c r="AN411" s="159"/>
      <c r="AO411" s="159"/>
      <c r="AP411" s="160"/>
      <c r="AQ411" s="160"/>
      <c r="AR411" s="160"/>
      <c r="AS411" s="159"/>
      <c r="AT411" s="159"/>
      <c r="AU411" s="161"/>
      <c r="AV411" s="157"/>
      <c r="AW411" s="157"/>
      <c r="AX411" s="157"/>
      <c r="AY411" s="157"/>
      <c r="AZ411" s="157"/>
      <c r="BA411" s="157"/>
      <c r="BB411" s="157"/>
      <c r="BC411" s="151"/>
      <c r="BD411" s="157"/>
      <c r="BE411" s="157"/>
      <c r="BF411" s="157"/>
      <c r="BG411" s="157"/>
      <c r="BH411" s="157"/>
      <c r="BI411" s="157"/>
      <c r="BJ411" s="353"/>
      <c r="BK411" s="353"/>
      <c r="BL411" s="353"/>
      <c r="BM411" s="14"/>
      <c r="BN411" s="14"/>
      <c r="BO411" s="14"/>
    </row>
    <row r="412" spans="1:67" ht="20.100000000000001" customHeight="1">
      <c r="A412" s="157"/>
      <c r="B412" s="1"/>
      <c r="C412" s="157"/>
      <c r="D412" s="1"/>
      <c r="E412" s="150"/>
      <c r="F412" s="150"/>
      <c r="G412" s="151"/>
      <c r="H412" s="150"/>
      <c r="I412" s="150"/>
      <c r="J412" s="151"/>
      <c r="K412" s="151"/>
      <c r="L412" s="150"/>
      <c r="M412" s="151"/>
      <c r="N412" s="151"/>
      <c r="O412" s="151"/>
      <c r="P412" s="150"/>
      <c r="Q412" s="150"/>
      <c r="R412" s="158"/>
      <c r="S412" s="158"/>
      <c r="T412" s="158"/>
      <c r="U412" s="158"/>
      <c r="V412" s="1"/>
      <c r="W412" s="1"/>
      <c r="X412" s="157"/>
      <c r="Y412" s="157"/>
      <c r="Z412" s="157"/>
      <c r="AA412" s="157"/>
      <c r="AB412" s="157"/>
      <c r="AC412" s="151"/>
      <c r="AD412" s="151"/>
      <c r="AE412" s="151"/>
      <c r="AF412" s="157"/>
      <c r="AG412" s="157"/>
      <c r="AH412" s="157"/>
      <c r="AI412" s="157"/>
      <c r="AJ412" s="157"/>
      <c r="AK412" s="157"/>
      <c r="AL412" s="157"/>
      <c r="AM412" s="157"/>
      <c r="AN412" s="159"/>
      <c r="AO412" s="159"/>
      <c r="AP412" s="160"/>
      <c r="AQ412" s="160"/>
      <c r="AR412" s="160"/>
      <c r="AS412" s="159"/>
      <c r="AT412" s="159"/>
      <c r="AU412" s="161"/>
      <c r="AV412" s="157"/>
      <c r="AW412" s="157"/>
      <c r="AX412" s="157"/>
      <c r="AY412" s="157"/>
      <c r="AZ412" s="157"/>
      <c r="BA412" s="157"/>
      <c r="BB412" s="157"/>
      <c r="BC412" s="151"/>
      <c r="BD412" s="157"/>
      <c r="BE412" s="157"/>
      <c r="BF412" s="157"/>
      <c r="BG412" s="157"/>
      <c r="BH412" s="157"/>
      <c r="BI412" s="157"/>
      <c r="BJ412" s="353"/>
      <c r="BK412" s="353"/>
      <c r="BL412" s="353"/>
      <c r="BM412" s="14"/>
      <c r="BN412" s="14"/>
      <c r="BO412" s="14"/>
    </row>
    <row r="413" spans="1:67" ht="20.100000000000001" customHeight="1">
      <c r="A413" s="157"/>
      <c r="B413" s="1"/>
      <c r="C413" s="157"/>
      <c r="D413" s="1"/>
      <c r="E413" s="150"/>
      <c r="F413" s="150"/>
      <c r="G413" s="151"/>
      <c r="H413" s="150"/>
      <c r="I413" s="150"/>
      <c r="J413" s="151"/>
      <c r="K413" s="151"/>
      <c r="L413" s="150"/>
      <c r="M413" s="151"/>
      <c r="N413" s="151"/>
      <c r="O413" s="151"/>
      <c r="P413" s="150"/>
      <c r="Q413" s="150"/>
      <c r="R413" s="158"/>
      <c r="S413" s="158"/>
      <c r="T413" s="158"/>
      <c r="U413" s="158"/>
      <c r="V413" s="1"/>
      <c r="W413" s="1"/>
      <c r="X413" s="157"/>
      <c r="Y413" s="157"/>
      <c r="Z413" s="157"/>
      <c r="AA413" s="157"/>
      <c r="AB413" s="157"/>
      <c r="AC413" s="151"/>
      <c r="AD413" s="151"/>
      <c r="AE413" s="151"/>
      <c r="AF413" s="157"/>
      <c r="AG413" s="157"/>
      <c r="AH413" s="157"/>
      <c r="AI413" s="157"/>
      <c r="AJ413" s="157"/>
      <c r="AK413" s="157"/>
      <c r="AL413" s="157"/>
      <c r="AM413" s="157"/>
      <c r="AN413" s="159"/>
      <c r="AO413" s="159"/>
      <c r="AP413" s="160"/>
      <c r="AQ413" s="160"/>
      <c r="AR413" s="160"/>
      <c r="AS413" s="159"/>
      <c r="AT413" s="159"/>
      <c r="AU413" s="161"/>
      <c r="AV413" s="157"/>
      <c r="AW413" s="157"/>
      <c r="AX413" s="157"/>
      <c r="AY413" s="157"/>
      <c r="AZ413" s="157"/>
      <c r="BA413" s="157"/>
      <c r="BB413" s="157"/>
      <c r="BC413" s="151"/>
      <c r="BD413" s="157"/>
      <c r="BE413" s="157"/>
      <c r="BF413" s="157"/>
      <c r="BG413" s="157"/>
      <c r="BH413" s="157"/>
      <c r="BI413" s="157"/>
      <c r="BJ413" s="353"/>
      <c r="BK413" s="353"/>
      <c r="BL413" s="353"/>
      <c r="BM413" s="14"/>
      <c r="BN413" s="14"/>
      <c r="BO413" s="14"/>
    </row>
    <row r="414" spans="1:67" ht="20.100000000000001" customHeight="1">
      <c r="A414" s="157"/>
      <c r="B414" s="1"/>
      <c r="C414" s="157"/>
      <c r="D414" s="1"/>
      <c r="E414" s="150"/>
      <c r="F414" s="150"/>
      <c r="G414" s="151"/>
      <c r="H414" s="150"/>
      <c r="I414" s="150"/>
      <c r="J414" s="151"/>
      <c r="K414" s="151"/>
      <c r="L414" s="150"/>
      <c r="M414" s="151"/>
      <c r="N414" s="151"/>
      <c r="O414" s="151"/>
      <c r="P414" s="150"/>
      <c r="Q414" s="150"/>
      <c r="R414" s="158"/>
      <c r="S414" s="158"/>
      <c r="T414" s="158"/>
      <c r="U414" s="158"/>
      <c r="V414" s="1"/>
      <c r="W414" s="1"/>
      <c r="X414" s="157"/>
      <c r="Y414" s="157"/>
      <c r="Z414" s="157"/>
      <c r="AA414" s="157"/>
      <c r="AB414" s="157"/>
      <c r="AC414" s="151"/>
      <c r="AD414" s="151"/>
      <c r="AE414" s="151"/>
      <c r="AF414" s="157"/>
      <c r="AG414" s="157"/>
      <c r="AH414" s="157"/>
      <c r="AI414" s="157"/>
      <c r="AJ414" s="157"/>
      <c r="AK414" s="157"/>
      <c r="AL414" s="157"/>
      <c r="AM414" s="157"/>
      <c r="AN414" s="159"/>
      <c r="AO414" s="159"/>
      <c r="AP414" s="160"/>
      <c r="AQ414" s="160"/>
      <c r="AR414" s="160"/>
      <c r="AS414" s="159"/>
      <c r="AT414" s="159"/>
      <c r="AU414" s="161"/>
      <c r="AV414" s="157"/>
      <c r="AW414" s="157"/>
      <c r="AX414" s="157"/>
      <c r="AY414" s="157"/>
      <c r="AZ414" s="157"/>
      <c r="BA414" s="157"/>
      <c r="BB414" s="157"/>
      <c r="BC414" s="151"/>
      <c r="BD414" s="157"/>
      <c r="BE414" s="157"/>
      <c r="BF414" s="157"/>
      <c r="BG414" s="157"/>
      <c r="BH414" s="157"/>
      <c r="BI414" s="157"/>
      <c r="BJ414" s="353"/>
      <c r="BK414" s="353"/>
      <c r="BL414" s="353"/>
      <c r="BM414" s="14"/>
      <c r="BN414" s="14"/>
      <c r="BO414" s="14"/>
    </row>
    <row r="415" spans="1:67" ht="20.100000000000001" customHeight="1">
      <c r="A415" s="157"/>
      <c r="B415" s="1"/>
      <c r="C415" s="157"/>
      <c r="D415" s="1"/>
      <c r="E415" s="150"/>
      <c r="F415" s="150"/>
      <c r="G415" s="151"/>
      <c r="H415" s="150"/>
      <c r="I415" s="150"/>
      <c r="J415" s="151"/>
      <c r="K415" s="151"/>
      <c r="L415" s="150"/>
      <c r="M415" s="151"/>
      <c r="N415" s="151"/>
      <c r="O415" s="151"/>
      <c r="P415" s="150"/>
      <c r="Q415" s="150"/>
      <c r="R415" s="158"/>
      <c r="S415" s="158"/>
      <c r="T415" s="158"/>
      <c r="U415" s="158"/>
      <c r="V415" s="1"/>
      <c r="W415" s="1"/>
      <c r="X415" s="157"/>
      <c r="Y415" s="157"/>
      <c r="Z415" s="157"/>
      <c r="AA415" s="157"/>
      <c r="AB415" s="157"/>
      <c r="AC415" s="151"/>
      <c r="AD415" s="151"/>
      <c r="AE415" s="151"/>
      <c r="AF415" s="157"/>
      <c r="AG415" s="157"/>
      <c r="AH415" s="157"/>
      <c r="AI415" s="157"/>
      <c r="AJ415" s="157"/>
      <c r="AK415" s="157"/>
      <c r="AL415" s="157"/>
      <c r="AM415" s="157"/>
      <c r="AN415" s="159"/>
      <c r="AO415" s="159"/>
      <c r="AP415" s="160"/>
      <c r="AQ415" s="160"/>
      <c r="AR415" s="160"/>
      <c r="AS415" s="159"/>
      <c r="AT415" s="159"/>
      <c r="AU415" s="161"/>
      <c r="AV415" s="157"/>
      <c r="AW415" s="157"/>
      <c r="AX415" s="157"/>
      <c r="AY415" s="157"/>
      <c r="AZ415" s="157"/>
      <c r="BA415" s="157"/>
      <c r="BB415" s="157"/>
      <c r="BC415" s="151"/>
      <c r="BD415" s="157"/>
      <c r="BE415" s="157"/>
      <c r="BF415" s="157"/>
      <c r="BG415" s="157"/>
      <c r="BH415" s="157"/>
      <c r="BI415" s="157"/>
      <c r="BJ415" s="353"/>
      <c r="BK415" s="353"/>
      <c r="BL415" s="353"/>
      <c r="BM415" s="14"/>
      <c r="BN415" s="14"/>
      <c r="BO415" s="14"/>
    </row>
    <row r="416" spans="1:67" ht="20.100000000000001" customHeight="1">
      <c r="A416" s="157"/>
      <c r="B416" s="1"/>
      <c r="C416" s="157"/>
      <c r="D416" s="1"/>
      <c r="E416" s="150"/>
      <c r="F416" s="150"/>
      <c r="G416" s="151"/>
      <c r="H416" s="150"/>
      <c r="I416" s="150"/>
      <c r="J416" s="151"/>
      <c r="K416" s="151"/>
      <c r="L416" s="150"/>
      <c r="M416" s="151"/>
      <c r="N416" s="151"/>
      <c r="O416" s="151"/>
      <c r="P416" s="150"/>
      <c r="Q416" s="150"/>
      <c r="R416" s="158"/>
      <c r="S416" s="158"/>
      <c r="T416" s="158"/>
      <c r="U416" s="158"/>
      <c r="V416" s="1"/>
      <c r="W416" s="1"/>
      <c r="X416" s="157"/>
      <c r="Y416" s="157"/>
      <c r="Z416" s="157"/>
      <c r="AA416" s="157"/>
      <c r="AB416" s="157"/>
      <c r="AC416" s="151"/>
      <c r="AD416" s="151"/>
      <c r="AE416" s="151"/>
      <c r="AF416" s="157"/>
      <c r="AG416" s="157"/>
      <c r="AH416" s="157"/>
      <c r="AI416" s="157"/>
      <c r="AJ416" s="157"/>
      <c r="AK416" s="157"/>
      <c r="AL416" s="157"/>
      <c r="AM416" s="157"/>
      <c r="AN416" s="159"/>
      <c r="AO416" s="159"/>
      <c r="AP416" s="160"/>
      <c r="AQ416" s="160"/>
      <c r="AR416" s="160"/>
      <c r="AS416" s="159"/>
      <c r="AT416" s="159"/>
      <c r="AU416" s="161"/>
      <c r="AV416" s="157"/>
      <c r="AW416" s="157"/>
      <c r="AX416" s="157"/>
      <c r="AY416" s="157"/>
      <c r="AZ416" s="157"/>
      <c r="BA416" s="157"/>
      <c r="BB416" s="157"/>
      <c r="BC416" s="151"/>
      <c r="BD416" s="157"/>
      <c r="BE416" s="157"/>
      <c r="BF416" s="157"/>
      <c r="BG416" s="157"/>
      <c r="BH416" s="157"/>
      <c r="BI416" s="157"/>
      <c r="BJ416" s="353"/>
      <c r="BK416" s="353"/>
      <c r="BL416" s="353"/>
      <c r="BM416" s="14"/>
      <c r="BN416" s="14"/>
      <c r="BO416" s="14"/>
    </row>
    <row r="417" spans="1:67" ht="20.100000000000001" customHeight="1">
      <c r="A417" s="157"/>
      <c r="B417" s="1"/>
      <c r="C417" s="157"/>
      <c r="D417" s="1"/>
      <c r="E417" s="150"/>
      <c r="F417" s="150"/>
      <c r="G417" s="151"/>
      <c r="H417" s="150"/>
      <c r="I417" s="150"/>
      <c r="J417" s="151"/>
      <c r="K417" s="151"/>
      <c r="L417" s="150"/>
      <c r="M417" s="151"/>
      <c r="N417" s="151"/>
      <c r="O417" s="151"/>
      <c r="P417" s="150"/>
      <c r="Q417" s="150"/>
      <c r="R417" s="158"/>
      <c r="S417" s="158"/>
      <c r="T417" s="158"/>
      <c r="U417" s="158"/>
      <c r="V417" s="1"/>
      <c r="W417" s="1"/>
      <c r="X417" s="157"/>
      <c r="Y417" s="157"/>
      <c r="Z417" s="157"/>
      <c r="AA417" s="157"/>
      <c r="AB417" s="157"/>
      <c r="AC417" s="151"/>
      <c r="AD417" s="151"/>
      <c r="AE417" s="151"/>
      <c r="AF417" s="157"/>
      <c r="AG417" s="157"/>
      <c r="AH417" s="157"/>
      <c r="AI417" s="157"/>
      <c r="AJ417" s="157"/>
      <c r="AK417" s="157"/>
      <c r="AL417" s="157"/>
      <c r="AM417" s="157"/>
      <c r="AN417" s="159"/>
      <c r="AO417" s="159"/>
      <c r="AP417" s="160"/>
      <c r="AQ417" s="160"/>
      <c r="AR417" s="160"/>
      <c r="AS417" s="159"/>
      <c r="AT417" s="159"/>
      <c r="AU417" s="161"/>
      <c r="AV417" s="157"/>
      <c r="AW417" s="157"/>
      <c r="AX417" s="157"/>
      <c r="AY417" s="157"/>
      <c r="AZ417" s="157"/>
      <c r="BA417" s="157"/>
      <c r="BB417" s="157"/>
      <c r="BC417" s="151"/>
      <c r="BD417" s="157"/>
      <c r="BE417" s="157"/>
      <c r="BF417" s="157"/>
      <c r="BG417" s="157"/>
      <c r="BH417" s="157"/>
      <c r="BI417" s="157"/>
      <c r="BJ417" s="353"/>
      <c r="BK417" s="353"/>
      <c r="BL417" s="353"/>
      <c r="BM417" s="14"/>
      <c r="BN417" s="14"/>
      <c r="BO417" s="14"/>
    </row>
    <row r="418" spans="1:67" ht="20.100000000000001" customHeight="1">
      <c r="A418" s="157"/>
      <c r="B418" s="1"/>
      <c r="C418" s="157"/>
      <c r="D418" s="1"/>
      <c r="E418" s="150"/>
      <c r="F418" s="150"/>
      <c r="G418" s="151"/>
      <c r="H418" s="150"/>
      <c r="I418" s="150"/>
      <c r="J418" s="151"/>
      <c r="K418" s="151"/>
      <c r="L418" s="150"/>
      <c r="M418" s="151"/>
      <c r="N418" s="151"/>
      <c r="O418" s="151"/>
      <c r="P418" s="150"/>
      <c r="Q418" s="150"/>
      <c r="R418" s="158"/>
      <c r="S418" s="158"/>
      <c r="T418" s="158"/>
      <c r="U418" s="158"/>
      <c r="V418" s="1"/>
      <c r="W418" s="1"/>
      <c r="X418" s="157"/>
      <c r="Y418" s="157"/>
      <c r="Z418" s="157"/>
      <c r="AA418" s="157"/>
      <c r="AB418" s="157"/>
      <c r="AC418" s="151"/>
      <c r="AD418" s="151"/>
      <c r="AE418" s="151"/>
      <c r="AF418" s="157"/>
      <c r="AG418" s="157"/>
      <c r="AH418" s="157"/>
      <c r="AI418" s="157"/>
      <c r="AJ418" s="157"/>
      <c r="AK418" s="157"/>
      <c r="AL418" s="157"/>
      <c r="AM418" s="157"/>
      <c r="AN418" s="159"/>
      <c r="AO418" s="159"/>
      <c r="AP418" s="160"/>
      <c r="AQ418" s="160"/>
      <c r="AR418" s="160"/>
      <c r="AS418" s="159"/>
      <c r="AT418" s="159"/>
      <c r="AU418" s="161"/>
      <c r="AV418" s="157"/>
      <c r="AW418" s="157"/>
      <c r="AX418" s="157"/>
      <c r="AY418" s="157"/>
      <c r="AZ418" s="157"/>
      <c r="BA418" s="157"/>
      <c r="BB418" s="157"/>
      <c r="BC418" s="151"/>
      <c r="BD418" s="157"/>
      <c r="BE418" s="157"/>
      <c r="BF418" s="157"/>
      <c r="BG418" s="157"/>
      <c r="BH418" s="157"/>
      <c r="BI418" s="157"/>
      <c r="BJ418" s="353"/>
      <c r="BK418" s="353"/>
      <c r="BL418" s="353"/>
      <c r="BM418" s="14"/>
      <c r="BN418" s="14"/>
      <c r="BO418" s="14"/>
    </row>
    <row r="419" spans="1:67" ht="20.100000000000001" customHeight="1">
      <c r="A419" s="157"/>
      <c r="B419" s="1"/>
      <c r="C419" s="157"/>
      <c r="D419" s="1"/>
      <c r="E419" s="150"/>
      <c r="F419" s="150"/>
      <c r="G419" s="151"/>
      <c r="H419" s="150"/>
      <c r="I419" s="150"/>
      <c r="J419" s="151"/>
      <c r="K419" s="151"/>
      <c r="L419" s="150"/>
      <c r="M419" s="151"/>
      <c r="N419" s="151"/>
      <c r="O419" s="151"/>
      <c r="P419" s="150"/>
      <c r="Q419" s="150"/>
      <c r="R419" s="158"/>
      <c r="S419" s="158"/>
      <c r="T419" s="158"/>
      <c r="U419" s="158"/>
      <c r="V419" s="1"/>
      <c r="W419" s="1"/>
      <c r="X419" s="157"/>
      <c r="Y419" s="157"/>
      <c r="Z419" s="157"/>
      <c r="AA419" s="157"/>
      <c r="AB419" s="157"/>
      <c r="AC419" s="151"/>
      <c r="AD419" s="151"/>
      <c r="AE419" s="151"/>
      <c r="AF419" s="157"/>
      <c r="AG419" s="157"/>
      <c r="AH419" s="157"/>
      <c r="AI419" s="157"/>
      <c r="AJ419" s="157"/>
      <c r="AK419" s="157"/>
      <c r="AL419" s="157"/>
      <c r="AM419" s="157"/>
      <c r="AN419" s="159"/>
      <c r="AO419" s="159"/>
      <c r="AP419" s="160"/>
      <c r="AQ419" s="160"/>
      <c r="AR419" s="160"/>
      <c r="AS419" s="159"/>
      <c r="AT419" s="159"/>
      <c r="AU419" s="161"/>
      <c r="AV419" s="157"/>
      <c r="AW419" s="157"/>
      <c r="AX419" s="157"/>
      <c r="AY419" s="157"/>
      <c r="AZ419" s="157"/>
      <c r="BA419" s="157"/>
      <c r="BB419" s="157"/>
      <c r="BC419" s="151"/>
      <c r="BD419" s="157"/>
      <c r="BE419" s="157"/>
      <c r="BF419" s="157"/>
      <c r="BG419" s="157"/>
      <c r="BH419" s="157"/>
      <c r="BI419" s="157"/>
      <c r="BJ419" s="353"/>
      <c r="BK419" s="353"/>
      <c r="BL419" s="353"/>
      <c r="BM419" s="14"/>
      <c r="BN419" s="14"/>
      <c r="BO419" s="14"/>
    </row>
    <row r="420" spans="1:67" ht="20.100000000000001" customHeight="1">
      <c r="A420" s="157"/>
      <c r="B420" s="1"/>
      <c r="C420" s="157"/>
      <c r="D420" s="1"/>
      <c r="E420" s="150"/>
      <c r="F420" s="150"/>
      <c r="G420" s="151"/>
      <c r="H420" s="150"/>
      <c r="I420" s="150"/>
      <c r="J420" s="151"/>
      <c r="K420" s="151"/>
      <c r="L420" s="150"/>
      <c r="M420" s="151"/>
      <c r="N420" s="151"/>
      <c r="O420" s="151"/>
      <c r="P420" s="150"/>
      <c r="Q420" s="150"/>
      <c r="R420" s="158"/>
      <c r="S420" s="158"/>
      <c r="T420" s="158"/>
      <c r="U420" s="158"/>
      <c r="V420" s="1"/>
      <c r="W420" s="1"/>
      <c r="X420" s="157"/>
      <c r="Y420" s="157"/>
      <c r="Z420" s="157"/>
      <c r="AA420" s="157"/>
      <c r="AB420" s="157"/>
      <c r="AC420" s="151"/>
      <c r="AD420" s="151"/>
      <c r="AE420" s="151"/>
      <c r="AF420" s="157"/>
      <c r="AG420" s="157"/>
      <c r="AH420" s="157"/>
      <c r="AI420" s="157"/>
      <c r="AJ420" s="157"/>
      <c r="AK420" s="157"/>
      <c r="AL420" s="157"/>
      <c r="AM420" s="157"/>
      <c r="AN420" s="159"/>
      <c r="AO420" s="159"/>
      <c r="AP420" s="160"/>
      <c r="AQ420" s="160"/>
      <c r="AR420" s="160"/>
      <c r="AS420" s="159"/>
      <c r="AT420" s="159"/>
      <c r="AU420" s="161"/>
      <c r="AV420" s="157"/>
      <c r="AW420" s="157"/>
      <c r="AX420" s="157"/>
      <c r="AY420" s="157"/>
      <c r="AZ420" s="157"/>
      <c r="BA420" s="157"/>
      <c r="BB420" s="157"/>
      <c r="BC420" s="151"/>
      <c r="BD420" s="157"/>
      <c r="BE420" s="157"/>
      <c r="BF420" s="157"/>
      <c r="BG420" s="157"/>
      <c r="BH420" s="157"/>
      <c r="BI420" s="157"/>
      <c r="BJ420" s="353"/>
      <c r="BK420" s="353"/>
      <c r="BL420" s="353"/>
      <c r="BM420" s="14"/>
      <c r="BN420" s="14"/>
      <c r="BO420" s="14"/>
    </row>
    <row r="421" spans="1:67" ht="20.100000000000001" customHeight="1">
      <c r="A421" s="157"/>
      <c r="B421" s="1"/>
      <c r="C421" s="157"/>
      <c r="D421" s="1"/>
      <c r="E421" s="150"/>
      <c r="F421" s="150"/>
      <c r="G421" s="151"/>
      <c r="H421" s="150"/>
      <c r="I421" s="150"/>
      <c r="J421" s="151"/>
      <c r="K421" s="151"/>
      <c r="L421" s="150"/>
      <c r="M421" s="151"/>
      <c r="N421" s="151"/>
      <c r="O421" s="151"/>
      <c r="P421" s="150"/>
      <c r="Q421" s="150"/>
      <c r="R421" s="158"/>
      <c r="S421" s="158"/>
      <c r="T421" s="158"/>
      <c r="U421" s="158"/>
      <c r="V421" s="1"/>
      <c r="W421" s="1"/>
      <c r="X421" s="157"/>
      <c r="Y421" s="157"/>
      <c r="Z421" s="157"/>
      <c r="AA421" s="157"/>
      <c r="AB421" s="157"/>
      <c r="AC421" s="151"/>
      <c r="AD421" s="151"/>
      <c r="AE421" s="151"/>
      <c r="AF421" s="157"/>
      <c r="AG421" s="157"/>
      <c r="AH421" s="157"/>
      <c r="AI421" s="157"/>
      <c r="AJ421" s="157"/>
      <c r="AK421" s="157"/>
      <c r="AL421" s="157"/>
      <c r="AM421" s="157"/>
      <c r="AN421" s="159"/>
      <c r="AO421" s="159"/>
      <c r="AP421" s="160"/>
      <c r="AQ421" s="160"/>
      <c r="AR421" s="160"/>
      <c r="AS421" s="159"/>
      <c r="AT421" s="159"/>
      <c r="AU421" s="161"/>
      <c r="AV421" s="157"/>
      <c r="AW421" s="157"/>
      <c r="AX421" s="157"/>
      <c r="AY421" s="157"/>
      <c r="AZ421" s="157"/>
      <c r="BA421" s="157"/>
      <c r="BB421" s="157"/>
      <c r="BC421" s="151"/>
      <c r="BD421" s="157"/>
      <c r="BE421" s="157"/>
      <c r="BF421" s="157"/>
      <c r="BG421" s="157"/>
      <c r="BH421" s="157"/>
      <c r="BI421" s="157"/>
      <c r="BJ421" s="353"/>
      <c r="BK421" s="353"/>
      <c r="BL421" s="353"/>
      <c r="BM421" s="14"/>
      <c r="BN421" s="14"/>
      <c r="BO421" s="14"/>
    </row>
    <row r="422" spans="1:67" ht="20.100000000000001" customHeight="1">
      <c r="A422" s="157"/>
      <c r="B422" s="1"/>
      <c r="C422" s="157"/>
      <c r="D422" s="1"/>
      <c r="E422" s="150"/>
      <c r="F422" s="150"/>
      <c r="G422" s="151"/>
      <c r="H422" s="150"/>
      <c r="I422" s="150"/>
      <c r="J422" s="151"/>
      <c r="K422" s="151"/>
      <c r="L422" s="150"/>
      <c r="M422" s="151"/>
      <c r="N422" s="151"/>
      <c r="O422" s="151"/>
      <c r="P422" s="150"/>
      <c r="Q422" s="150"/>
      <c r="R422" s="158"/>
      <c r="S422" s="158"/>
      <c r="T422" s="158"/>
      <c r="U422" s="158"/>
      <c r="V422" s="1"/>
      <c r="W422" s="1"/>
      <c r="X422" s="157"/>
      <c r="Y422" s="157"/>
      <c r="Z422" s="157"/>
      <c r="AA422" s="157"/>
      <c r="AB422" s="157"/>
      <c r="AC422" s="151"/>
      <c r="AD422" s="151"/>
      <c r="AE422" s="151"/>
      <c r="AF422" s="157"/>
      <c r="AG422" s="157"/>
      <c r="AH422" s="157"/>
      <c r="AI422" s="157"/>
      <c r="AJ422" s="157"/>
      <c r="AK422" s="157"/>
      <c r="AL422" s="157"/>
      <c r="AM422" s="157"/>
      <c r="AN422" s="159"/>
      <c r="AO422" s="159"/>
      <c r="AP422" s="160"/>
      <c r="AQ422" s="160"/>
      <c r="AR422" s="160"/>
      <c r="AS422" s="159"/>
      <c r="AT422" s="159"/>
      <c r="AU422" s="161"/>
      <c r="AV422" s="157"/>
      <c r="AW422" s="157"/>
      <c r="AX422" s="157"/>
      <c r="AY422" s="157"/>
      <c r="AZ422" s="157"/>
      <c r="BA422" s="157"/>
      <c r="BB422" s="157"/>
      <c r="BC422" s="151"/>
      <c r="BD422" s="157"/>
      <c r="BE422" s="157"/>
      <c r="BF422" s="157"/>
      <c r="BG422" s="157"/>
      <c r="BH422" s="157"/>
      <c r="BI422" s="157"/>
      <c r="BJ422" s="353"/>
      <c r="BK422" s="353"/>
      <c r="BL422" s="353"/>
      <c r="BM422" s="14"/>
      <c r="BN422" s="14"/>
      <c r="BO422" s="14"/>
    </row>
    <row r="423" spans="1:67" ht="20.100000000000001" customHeight="1">
      <c r="A423" s="157"/>
      <c r="B423" s="1"/>
      <c r="C423" s="157"/>
      <c r="D423" s="1"/>
      <c r="E423" s="150"/>
      <c r="F423" s="150"/>
      <c r="G423" s="151"/>
      <c r="H423" s="150"/>
      <c r="I423" s="150"/>
      <c r="J423" s="151"/>
      <c r="K423" s="151"/>
      <c r="L423" s="150"/>
      <c r="M423" s="151"/>
      <c r="N423" s="151"/>
      <c r="O423" s="151"/>
      <c r="P423" s="150"/>
      <c r="Q423" s="150"/>
      <c r="R423" s="158"/>
      <c r="S423" s="158"/>
      <c r="T423" s="158"/>
      <c r="U423" s="158"/>
      <c r="V423" s="1"/>
      <c r="W423" s="1"/>
      <c r="X423" s="157"/>
      <c r="Y423" s="157"/>
      <c r="Z423" s="157"/>
      <c r="AA423" s="157"/>
      <c r="AB423" s="157"/>
      <c r="AC423" s="151"/>
      <c r="AD423" s="151"/>
      <c r="AE423" s="151"/>
      <c r="AF423" s="157"/>
      <c r="AG423" s="157"/>
      <c r="AH423" s="157"/>
      <c r="AI423" s="157"/>
      <c r="AJ423" s="157"/>
      <c r="AK423" s="157"/>
      <c r="AL423" s="157"/>
      <c r="AM423" s="157"/>
      <c r="AN423" s="159"/>
      <c r="AO423" s="159"/>
      <c r="AP423" s="160"/>
      <c r="AQ423" s="160"/>
      <c r="AR423" s="160"/>
      <c r="AS423" s="159"/>
      <c r="AT423" s="159"/>
      <c r="AU423" s="161"/>
      <c r="AV423" s="157"/>
      <c r="AW423" s="157"/>
      <c r="AX423" s="157"/>
      <c r="AY423" s="157"/>
      <c r="AZ423" s="157"/>
      <c r="BA423" s="157"/>
      <c r="BB423" s="157"/>
      <c r="BC423" s="151"/>
      <c r="BD423" s="157"/>
      <c r="BE423" s="157"/>
      <c r="BF423" s="157"/>
      <c r="BG423" s="157"/>
      <c r="BH423" s="157"/>
      <c r="BI423" s="157"/>
      <c r="BJ423" s="353"/>
      <c r="BK423" s="353"/>
      <c r="BL423" s="353"/>
      <c r="BM423" s="14"/>
      <c r="BN423" s="14"/>
      <c r="BO423" s="14"/>
    </row>
    <row r="424" spans="1:67" ht="20.100000000000001" customHeight="1">
      <c r="A424" s="157"/>
      <c r="B424" s="1"/>
      <c r="C424" s="157"/>
      <c r="D424" s="1"/>
      <c r="E424" s="150"/>
      <c r="F424" s="150"/>
      <c r="G424" s="151"/>
      <c r="H424" s="150"/>
      <c r="I424" s="150"/>
      <c r="J424" s="151"/>
      <c r="K424" s="151"/>
      <c r="L424" s="150"/>
      <c r="M424" s="151"/>
      <c r="N424" s="151"/>
      <c r="O424" s="151"/>
      <c r="P424" s="150"/>
      <c r="Q424" s="150"/>
      <c r="R424" s="158"/>
      <c r="S424" s="158"/>
      <c r="T424" s="158"/>
      <c r="U424" s="158"/>
      <c r="V424" s="1"/>
      <c r="W424" s="1"/>
      <c r="X424" s="157"/>
      <c r="Y424" s="157"/>
      <c r="Z424" s="157"/>
      <c r="AA424" s="157"/>
      <c r="AB424" s="157"/>
      <c r="AC424" s="151"/>
      <c r="AD424" s="151"/>
      <c r="AE424" s="151"/>
      <c r="AF424" s="157"/>
      <c r="AG424" s="157"/>
      <c r="AH424" s="157"/>
      <c r="AI424" s="157"/>
      <c r="AJ424" s="157"/>
      <c r="AK424" s="157"/>
      <c r="AL424" s="157"/>
      <c r="AM424" s="157"/>
      <c r="AN424" s="159"/>
      <c r="AO424" s="159"/>
      <c r="AP424" s="160"/>
      <c r="AQ424" s="160"/>
      <c r="AR424" s="160"/>
      <c r="AS424" s="159"/>
      <c r="AT424" s="159"/>
      <c r="AU424" s="161"/>
      <c r="AV424" s="157"/>
      <c r="AW424" s="157"/>
      <c r="AX424" s="157"/>
      <c r="AY424" s="157"/>
      <c r="AZ424" s="157"/>
      <c r="BA424" s="157"/>
      <c r="BB424" s="157"/>
      <c r="BC424" s="151"/>
      <c r="BD424" s="157"/>
      <c r="BE424" s="157"/>
      <c r="BF424" s="157"/>
      <c r="BG424" s="157"/>
      <c r="BH424" s="157"/>
      <c r="BI424" s="157"/>
      <c r="BJ424" s="353"/>
      <c r="BK424" s="353"/>
      <c r="BL424" s="353"/>
      <c r="BM424" s="14"/>
      <c r="BN424" s="14"/>
      <c r="BO424" s="14"/>
    </row>
    <row r="425" spans="1:67" ht="20.100000000000001" customHeight="1">
      <c r="A425" s="157"/>
      <c r="B425" s="1"/>
      <c r="C425" s="157"/>
      <c r="D425" s="1"/>
      <c r="E425" s="150"/>
      <c r="F425" s="150"/>
      <c r="G425" s="151"/>
      <c r="H425" s="150"/>
      <c r="I425" s="150"/>
      <c r="J425" s="151"/>
      <c r="K425" s="151"/>
      <c r="L425" s="150"/>
      <c r="M425" s="151"/>
      <c r="N425" s="151"/>
      <c r="O425" s="151"/>
      <c r="P425" s="150"/>
      <c r="Q425" s="150"/>
      <c r="R425" s="158"/>
      <c r="S425" s="158"/>
      <c r="T425" s="158"/>
      <c r="U425" s="158"/>
      <c r="V425" s="1"/>
      <c r="W425" s="1"/>
      <c r="X425" s="157"/>
      <c r="Y425" s="157"/>
      <c r="Z425" s="157"/>
      <c r="AA425" s="157"/>
      <c r="AB425" s="157"/>
      <c r="AC425" s="151"/>
      <c r="AD425" s="151"/>
      <c r="AE425" s="151"/>
      <c r="AF425" s="157"/>
      <c r="AG425" s="157"/>
      <c r="AH425" s="157"/>
      <c r="AI425" s="157"/>
      <c r="AJ425" s="157"/>
      <c r="AK425" s="157"/>
      <c r="AL425" s="157"/>
      <c r="AM425" s="157"/>
      <c r="AN425" s="159"/>
      <c r="AO425" s="159"/>
      <c r="AP425" s="160"/>
      <c r="AQ425" s="160"/>
      <c r="AR425" s="160"/>
      <c r="AS425" s="159"/>
      <c r="AT425" s="159"/>
      <c r="AU425" s="161"/>
      <c r="AV425" s="157"/>
      <c r="AW425" s="157"/>
      <c r="AX425" s="157"/>
      <c r="AY425" s="157"/>
      <c r="AZ425" s="157"/>
      <c r="BA425" s="157"/>
      <c r="BB425" s="157"/>
      <c r="BC425" s="151"/>
      <c r="BD425" s="157"/>
      <c r="BE425" s="157"/>
      <c r="BF425" s="157"/>
      <c r="BG425" s="157"/>
      <c r="BH425" s="157"/>
      <c r="BI425" s="157"/>
      <c r="BJ425" s="353"/>
      <c r="BK425" s="353"/>
      <c r="BL425" s="353"/>
      <c r="BM425" s="14"/>
      <c r="BN425" s="14"/>
      <c r="BO425" s="14"/>
    </row>
    <row r="426" spans="1:67" ht="20.100000000000001" customHeight="1">
      <c r="A426" s="157"/>
      <c r="B426" s="1"/>
      <c r="C426" s="157"/>
      <c r="D426" s="1"/>
      <c r="E426" s="150"/>
      <c r="F426" s="150"/>
      <c r="G426" s="151"/>
      <c r="H426" s="150"/>
      <c r="I426" s="150"/>
      <c r="J426" s="151"/>
      <c r="K426" s="151"/>
      <c r="L426" s="150"/>
      <c r="M426" s="151"/>
      <c r="N426" s="151"/>
      <c r="O426" s="151"/>
      <c r="P426" s="150"/>
      <c r="Q426" s="150"/>
      <c r="R426" s="158"/>
      <c r="S426" s="158"/>
      <c r="T426" s="158"/>
      <c r="U426" s="158"/>
      <c r="V426" s="1"/>
      <c r="W426" s="1"/>
      <c r="X426" s="157"/>
      <c r="Y426" s="157"/>
      <c r="Z426" s="157"/>
      <c r="AA426" s="157"/>
      <c r="AB426" s="157"/>
      <c r="AC426" s="151"/>
      <c r="AD426" s="151"/>
      <c r="AE426" s="151"/>
      <c r="AF426" s="157"/>
      <c r="AG426" s="157"/>
      <c r="AH426" s="157"/>
      <c r="AI426" s="157"/>
      <c r="AJ426" s="157"/>
      <c r="AK426" s="157"/>
      <c r="AL426" s="157"/>
      <c r="AM426" s="157"/>
      <c r="AN426" s="159"/>
      <c r="AO426" s="159"/>
      <c r="AP426" s="160"/>
      <c r="AQ426" s="160"/>
      <c r="AR426" s="160"/>
      <c r="AS426" s="159"/>
      <c r="AT426" s="159"/>
      <c r="AU426" s="161"/>
      <c r="AV426" s="157"/>
      <c r="AW426" s="157"/>
      <c r="AX426" s="157"/>
      <c r="AY426" s="157"/>
      <c r="AZ426" s="157"/>
      <c r="BA426" s="157"/>
      <c r="BB426" s="157"/>
      <c r="BC426" s="151"/>
      <c r="BD426" s="157"/>
      <c r="BE426" s="157"/>
      <c r="BF426" s="157"/>
      <c r="BG426" s="157"/>
      <c r="BH426" s="157"/>
      <c r="BI426" s="157"/>
      <c r="BJ426" s="353"/>
      <c r="BK426" s="353"/>
      <c r="BL426" s="353"/>
      <c r="BM426" s="14"/>
      <c r="BN426" s="14"/>
      <c r="BO426" s="14"/>
    </row>
    <row r="427" spans="1:67" ht="20.100000000000001" customHeight="1">
      <c r="A427" s="157"/>
      <c r="B427" s="1"/>
      <c r="C427" s="157"/>
      <c r="D427" s="1"/>
      <c r="E427" s="150"/>
      <c r="F427" s="150"/>
      <c r="G427" s="151"/>
      <c r="H427" s="150"/>
      <c r="I427" s="150"/>
      <c r="J427" s="151"/>
      <c r="K427" s="151"/>
      <c r="L427" s="150"/>
      <c r="M427" s="151"/>
      <c r="N427" s="151"/>
      <c r="O427" s="151"/>
      <c r="P427" s="150"/>
      <c r="Q427" s="150"/>
      <c r="R427" s="158"/>
      <c r="S427" s="158"/>
      <c r="T427" s="158"/>
      <c r="U427" s="158"/>
      <c r="V427" s="1"/>
      <c r="W427" s="1"/>
      <c r="X427" s="157"/>
      <c r="Y427" s="157"/>
      <c r="Z427" s="157"/>
      <c r="AA427" s="157"/>
      <c r="AB427" s="157"/>
      <c r="AC427" s="151"/>
      <c r="AD427" s="151"/>
      <c r="AE427" s="151"/>
      <c r="AF427" s="157"/>
      <c r="AG427" s="157"/>
      <c r="AH427" s="157"/>
      <c r="AI427" s="157"/>
      <c r="AJ427" s="157"/>
      <c r="AK427" s="157"/>
      <c r="AL427" s="157"/>
      <c r="AM427" s="157"/>
      <c r="AN427" s="159"/>
      <c r="AO427" s="159"/>
      <c r="AP427" s="160"/>
      <c r="AQ427" s="160"/>
      <c r="AR427" s="160"/>
      <c r="AS427" s="159"/>
      <c r="AT427" s="159"/>
      <c r="AU427" s="161"/>
      <c r="AV427" s="157"/>
      <c r="AW427" s="157"/>
      <c r="AX427" s="157"/>
      <c r="AY427" s="157"/>
      <c r="AZ427" s="157"/>
      <c r="BA427" s="157"/>
      <c r="BB427" s="157"/>
      <c r="BC427" s="151"/>
      <c r="BD427" s="157"/>
      <c r="BE427" s="157"/>
      <c r="BF427" s="157"/>
      <c r="BG427" s="157"/>
      <c r="BH427" s="157"/>
      <c r="BI427" s="157"/>
      <c r="BJ427" s="353"/>
      <c r="BK427" s="353"/>
      <c r="BL427" s="353"/>
      <c r="BM427" s="14"/>
      <c r="BN427" s="14"/>
      <c r="BO427" s="14"/>
    </row>
    <row r="428" spans="1:67" ht="20.100000000000001" customHeight="1">
      <c r="A428" s="157"/>
      <c r="B428" s="1"/>
      <c r="C428" s="157"/>
      <c r="D428" s="1"/>
      <c r="E428" s="150"/>
      <c r="F428" s="150"/>
      <c r="G428" s="151"/>
      <c r="H428" s="150"/>
      <c r="I428" s="150"/>
      <c r="J428" s="151"/>
      <c r="K428" s="151"/>
      <c r="L428" s="150"/>
      <c r="M428" s="151"/>
      <c r="N428" s="151"/>
      <c r="O428" s="151"/>
      <c r="P428" s="150"/>
      <c r="Q428" s="150"/>
      <c r="R428" s="158"/>
      <c r="S428" s="158"/>
      <c r="T428" s="158"/>
      <c r="U428" s="158"/>
      <c r="V428" s="1"/>
      <c r="W428" s="1"/>
      <c r="X428" s="157"/>
      <c r="Y428" s="157"/>
      <c r="Z428" s="157"/>
      <c r="AA428" s="157"/>
      <c r="AB428" s="157"/>
      <c r="AC428" s="151"/>
      <c r="AD428" s="151"/>
      <c r="AE428" s="151"/>
      <c r="AF428" s="157"/>
      <c r="AG428" s="157"/>
      <c r="AH428" s="157"/>
      <c r="AI428" s="157"/>
      <c r="AJ428" s="157"/>
      <c r="AK428" s="157"/>
      <c r="AL428" s="157"/>
      <c r="AM428" s="157"/>
      <c r="AN428" s="159"/>
      <c r="AO428" s="159"/>
      <c r="AP428" s="160"/>
      <c r="AQ428" s="160"/>
      <c r="AR428" s="160"/>
      <c r="AS428" s="159"/>
      <c r="AT428" s="159"/>
      <c r="AU428" s="161"/>
      <c r="AV428" s="157"/>
      <c r="AW428" s="157"/>
      <c r="AX428" s="157"/>
      <c r="AY428" s="157"/>
      <c r="AZ428" s="157"/>
      <c r="BA428" s="157"/>
      <c r="BB428" s="157"/>
      <c r="BC428" s="151"/>
      <c r="BD428" s="157"/>
      <c r="BE428" s="157"/>
      <c r="BF428" s="157"/>
      <c r="BG428" s="157"/>
      <c r="BH428" s="157"/>
      <c r="BI428" s="157"/>
      <c r="BJ428" s="353"/>
      <c r="BK428" s="353"/>
      <c r="BL428" s="353"/>
      <c r="BM428" s="14"/>
      <c r="BN428" s="14"/>
      <c r="BO428" s="14"/>
    </row>
    <row r="429" spans="1:67" ht="20.100000000000001" customHeight="1">
      <c r="A429" s="157"/>
      <c r="B429" s="1"/>
      <c r="C429" s="157"/>
      <c r="D429" s="1"/>
      <c r="E429" s="150"/>
      <c r="F429" s="150"/>
      <c r="G429" s="151"/>
      <c r="H429" s="150"/>
      <c r="I429" s="150"/>
      <c r="J429" s="151"/>
      <c r="K429" s="151"/>
      <c r="L429" s="150"/>
      <c r="M429" s="151"/>
      <c r="N429" s="151"/>
      <c r="O429" s="151"/>
      <c r="P429" s="150"/>
      <c r="Q429" s="150"/>
      <c r="R429" s="158"/>
      <c r="S429" s="158"/>
      <c r="T429" s="158"/>
      <c r="U429" s="158"/>
      <c r="V429" s="1"/>
      <c r="W429" s="1"/>
      <c r="X429" s="157"/>
      <c r="Y429" s="157"/>
      <c r="Z429" s="157"/>
      <c r="AA429" s="157"/>
      <c r="AB429" s="157"/>
      <c r="AC429" s="151"/>
      <c r="AD429" s="151"/>
      <c r="AE429" s="151"/>
      <c r="AF429" s="157"/>
      <c r="AG429" s="157"/>
      <c r="AH429" s="157"/>
      <c r="AI429" s="157"/>
      <c r="AJ429" s="157"/>
      <c r="AK429" s="157"/>
      <c r="AL429" s="157"/>
      <c r="AM429" s="157"/>
      <c r="AN429" s="159"/>
      <c r="AO429" s="159"/>
      <c r="AP429" s="160"/>
      <c r="AQ429" s="160"/>
      <c r="AR429" s="160"/>
      <c r="AS429" s="159"/>
      <c r="AT429" s="159"/>
      <c r="AU429" s="161"/>
      <c r="AV429" s="157"/>
      <c r="AW429" s="157"/>
      <c r="AX429" s="157"/>
      <c r="AY429" s="157"/>
      <c r="AZ429" s="157"/>
      <c r="BA429" s="157"/>
      <c r="BB429" s="157"/>
      <c r="BC429" s="151"/>
      <c r="BD429" s="157"/>
      <c r="BE429" s="157"/>
      <c r="BF429" s="157"/>
      <c r="BG429" s="157"/>
      <c r="BH429" s="157"/>
      <c r="BI429" s="157"/>
      <c r="BJ429" s="353"/>
      <c r="BK429" s="353"/>
      <c r="BL429" s="353"/>
      <c r="BM429" s="14"/>
      <c r="BN429" s="14"/>
      <c r="BO429" s="14"/>
    </row>
    <row r="430" spans="1:67" ht="20.100000000000001" customHeight="1">
      <c r="A430" s="157"/>
      <c r="B430" s="1"/>
      <c r="C430" s="157"/>
      <c r="D430" s="1"/>
      <c r="E430" s="150"/>
      <c r="F430" s="150"/>
      <c r="G430" s="151"/>
      <c r="H430" s="150"/>
      <c r="I430" s="150"/>
      <c r="J430" s="151"/>
      <c r="K430" s="151"/>
      <c r="L430" s="150"/>
      <c r="M430" s="151"/>
      <c r="N430" s="151"/>
      <c r="O430" s="151"/>
      <c r="P430" s="150"/>
      <c r="Q430" s="150"/>
      <c r="R430" s="158"/>
      <c r="S430" s="158"/>
      <c r="T430" s="158"/>
      <c r="U430" s="158"/>
      <c r="V430" s="1"/>
      <c r="W430" s="1"/>
      <c r="X430" s="157"/>
      <c r="Y430" s="157"/>
      <c r="Z430" s="157"/>
      <c r="AA430" s="157"/>
      <c r="AB430" s="157"/>
      <c r="AC430" s="151"/>
      <c r="AD430" s="151"/>
      <c r="AE430" s="151"/>
      <c r="AF430" s="157"/>
      <c r="AG430" s="157"/>
      <c r="AH430" s="157"/>
      <c r="AI430" s="157"/>
      <c r="AJ430" s="157"/>
      <c r="AK430" s="157"/>
      <c r="AL430" s="157"/>
      <c r="AM430" s="157"/>
      <c r="AN430" s="159"/>
      <c r="AO430" s="159"/>
      <c r="AP430" s="160"/>
      <c r="AQ430" s="160"/>
      <c r="AR430" s="160"/>
      <c r="AS430" s="159"/>
      <c r="AT430" s="159"/>
      <c r="AU430" s="161"/>
      <c r="AV430" s="157"/>
      <c r="AW430" s="157"/>
      <c r="AX430" s="157"/>
      <c r="AY430" s="157"/>
      <c r="AZ430" s="157"/>
      <c r="BA430" s="157"/>
      <c r="BB430" s="157"/>
      <c r="BC430" s="151"/>
      <c r="BD430" s="157"/>
      <c r="BE430" s="157"/>
      <c r="BF430" s="157"/>
      <c r="BG430" s="157"/>
      <c r="BH430" s="157"/>
      <c r="BI430" s="157"/>
      <c r="BJ430" s="353"/>
      <c r="BK430" s="353"/>
      <c r="BL430" s="353"/>
      <c r="BM430" s="14"/>
      <c r="BN430" s="14"/>
      <c r="BO430" s="14"/>
    </row>
    <row r="431" spans="1:67" ht="20.100000000000001" customHeight="1">
      <c r="A431" s="157"/>
      <c r="B431" s="1"/>
      <c r="C431" s="157"/>
      <c r="D431" s="1"/>
      <c r="E431" s="150"/>
      <c r="F431" s="150"/>
      <c r="G431" s="151"/>
      <c r="H431" s="150"/>
      <c r="I431" s="150"/>
      <c r="J431" s="151"/>
      <c r="K431" s="151"/>
      <c r="L431" s="150"/>
      <c r="M431" s="151"/>
      <c r="N431" s="151"/>
      <c r="O431" s="151"/>
      <c r="P431" s="150"/>
      <c r="Q431" s="150"/>
      <c r="R431" s="158"/>
      <c r="S431" s="158"/>
      <c r="T431" s="158"/>
      <c r="U431" s="158"/>
      <c r="V431" s="1"/>
      <c r="W431" s="1"/>
      <c r="X431" s="157"/>
      <c r="Y431" s="157"/>
      <c r="Z431" s="157"/>
      <c r="AA431" s="157"/>
      <c r="AB431" s="157"/>
      <c r="AC431" s="151"/>
      <c r="AD431" s="151"/>
      <c r="AE431" s="151"/>
      <c r="AF431" s="157"/>
      <c r="AG431" s="157"/>
      <c r="AH431" s="157"/>
      <c r="AI431" s="157"/>
      <c r="AJ431" s="157"/>
      <c r="AK431" s="157"/>
      <c r="AL431" s="157"/>
      <c r="AM431" s="157"/>
      <c r="AN431" s="159"/>
      <c r="AO431" s="159"/>
      <c r="AP431" s="160"/>
      <c r="AQ431" s="160"/>
      <c r="AR431" s="160"/>
      <c r="AS431" s="159"/>
      <c r="AT431" s="159"/>
      <c r="AU431" s="161"/>
      <c r="AV431" s="157"/>
      <c r="AW431" s="157"/>
      <c r="AX431" s="157"/>
      <c r="AY431" s="157"/>
      <c r="AZ431" s="157"/>
      <c r="BA431" s="157"/>
      <c r="BB431" s="157"/>
      <c r="BC431" s="151"/>
      <c r="BD431" s="157"/>
      <c r="BE431" s="157"/>
      <c r="BF431" s="157"/>
      <c r="BG431" s="157"/>
      <c r="BH431" s="157"/>
      <c r="BI431" s="157"/>
      <c r="BJ431" s="353"/>
      <c r="BK431" s="353"/>
      <c r="BL431" s="353"/>
      <c r="BM431" s="14"/>
      <c r="BN431" s="14"/>
      <c r="BO431" s="14"/>
    </row>
    <row r="432" spans="1:67" ht="20.100000000000001" customHeight="1">
      <c r="A432" s="157"/>
      <c r="B432" s="1"/>
      <c r="C432" s="157"/>
      <c r="D432" s="1"/>
      <c r="E432" s="150"/>
      <c r="F432" s="150"/>
      <c r="G432" s="151"/>
      <c r="H432" s="150"/>
      <c r="I432" s="150"/>
      <c r="J432" s="151"/>
      <c r="K432" s="151"/>
      <c r="L432" s="150"/>
      <c r="M432" s="151"/>
      <c r="N432" s="151"/>
      <c r="O432" s="151"/>
      <c r="P432" s="150"/>
      <c r="Q432" s="150"/>
      <c r="R432" s="158"/>
      <c r="S432" s="158"/>
      <c r="T432" s="158"/>
      <c r="U432" s="158"/>
      <c r="V432" s="1"/>
      <c r="W432" s="1"/>
      <c r="X432" s="157"/>
      <c r="Y432" s="157"/>
      <c r="Z432" s="157"/>
      <c r="AA432" s="157"/>
      <c r="AB432" s="157"/>
      <c r="AC432" s="151"/>
      <c r="AD432" s="151"/>
      <c r="AE432" s="151"/>
      <c r="AF432" s="157"/>
      <c r="AG432" s="157"/>
      <c r="AH432" s="157"/>
      <c r="AI432" s="157"/>
      <c r="AJ432" s="157"/>
      <c r="AK432" s="157"/>
      <c r="AL432" s="157"/>
      <c r="AM432" s="157"/>
      <c r="AN432" s="159"/>
      <c r="AO432" s="159"/>
      <c r="AP432" s="160"/>
      <c r="AQ432" s="160"/>
      <c r="AR432" s="160"/>
      <c r="AS432" s="159"/>
      <c r="AT432" s="159"/>
      <c r="AU432" s="161"/>
      <c r="AV432" s="157"/>
      <c r="AW432" s="157"/>
      <c r="AX432" s="157"/>
      <c r="AY432" s="157"/>
      <c r="AZ432" s="157"/>
      <c r="BA432" s="157"/>
      <c r="BB432" s="157"/>
      <c r="BC432" s="151"/>
      <c r="BD432" s="157"/>
      <c r="BE432" s="157"/>
      <c r="BF432" s="157"/>
      <c r="BG432" s="157"/>
      <c r="BH432" s="157"/>
      <c r="BI432" s="157"/>
      <c r="BJ432" s="353"/>
      <c r="BK432" s="353"/>
      <c r="BL432" s="353"/>
      <c r="BM432" s="14"/>
      <c r="BN432" s="14"/>
      <c r="BO432" s="14"/>
    </row>
    <row r="433" spans="1:67" ht="20.100000000000001" customHeight="1">
      <c r="A433" s="157"/>
      <c r="B433" s="1"/>
      <c r="C433" s="157"/>
      <c r="D433" s="1"/>
      <c r="E433" s="150"/>
      <c r="F433" s="150"/>
      <c r="G433" s="151"/>
      <c r="H433" s="150"/>
      <c r="I433" s="150"/>
      <c r="J433" s="151"/>
      <c r="K433" s="151"/>
      <c r="L433" s="150"/>
      <c r="M433" s="151"/>
      <c r="N433" s="151"/>
      <c r="O433" s="151"/>
      <c r="P433" s="150"/>
      <c r="Q433" s="150"/>
      <c r="R433" s="158"/>
      <c r="S433" s="158"/>
      <c r="T433" s="158"/>
      <c r="U433" s="158"/>
      <c r="V433" s="1"/>
      <c r="W433" s="1"/>
      <c r="X433" s="157"/>
      <c r="Y433" s="157"/>
      <c r="Z433" s="157"/>
      <c r="AA433" s="157"/>
      <c r="AB433" s="157"/>
      <c r="AC433" s="151"/>
      <c r="AD433" s="151"/>
      <c r="AE433" s="151"/>
      <c r="AF433" s="157"/>
      <c r="AG433" s="157"/>
      <c r="AH433" s="157"/>
      <c r="AI433" s="157"/>
      <c r="AJ433" s="157"/>
      <c r="AK433" s="157"/>
      <c r="AL433" s="157"/>
      <c r="AM433" s="157"/>
      <c r="AN433" s="159"/>
      <c r="AO433" s="159"/>
      <c r="AP433" s="160"/>
      <c r="AQ433" s="160"/>
      <c r="AR433" s="160"/>
      <c r="AS433" s="159"/>
      <c r="AT433" s="159"/>
      <c r="AU433" s="161"/>
      <c r="AV433" s="157"/>
      <c r="AW433" s="157"/>
      <c r="AX433" s="157"/>
      <c r="AY433" s="157"/>
      <c r="AZ433" s="157"/>
      <c r="BA433" s="157"/>
      <c r="BB433" s="157"/>
      <c r="BC433" s="151"/>
      <c r="BD433" s="157"/>
      <c r="BE433" s="157"/>
      <c r="BF433" s="157"/>
      <c r="BG433" s="157"/>
      <c r="BH433" s="157"/>
      <c r="BI433" s="157"/>
      <c r="BJ433" s="353"/>
      <c r="BK433" s="353"/>
      <c r="BL433" s="353"/>
      <c r="BM433" s="14"/>
      <c r="BN433" s="14"/>
      <c r="BO433" s="14"/>
    </row>
    <row r="434" spans="1:67" ht="20.100000000000001" customHeight="1">
      <c r="A434" s="157"/>
      <c r="B434" s="1"/>
      <c r="C434" s="157"/>
      <c r="D434" s="1"/>
      <c r="E434" s="150"/>
      <c r="F434" s="150"/>
      <c r="G434" s="151"/>
      <c r="H434" s="150"/>
      <c r="I434" s="150"/>
      <c r="J434" s="151"/>
      <c r="K434" s="151"/>
      <c r="L434" s="150"/>
      <c r="M434" s="151"/>
      <c r="N434" s="151"/>
      <c r="O434" s="151"/>
      <c r="P434" s="150"/>
      <c r="Q434" s="150"/>
      <c r="R434" s="158"/>
      <c r="S434" s="158"/>
      <c r="T434" s="158"/>
      <c r="U434" s="158"/>
      <c r="V434" s="1"/>
      <c r="W434" s="1"/>
      <c r="X434" s="157"/>
      <c r="Y434" s="157"/>
      <c r="Z434" s="157"/>
      <c r="AA434" s="157"/>
      <c r="AB434" s="157"/>
      <c r="AC434" s="151"/>
      <c r="AD434" s="151"/>
      <c r="AE434" s="151"/>
      <c r="AF434" s="157"/>
      <c r="AG434" s="157"/>
      <c r="AH434" s="157"/>
      <c r="AI434" s="157"/>
      <c r="AJ434" s="157"/>
      <c r="AK434" s="157"/>
      <c r="AL434" s="157"/>
      <c r="AM434" s="157"/>
      <c r="AN434" s="159"/>
      <c r="AO434" s="159"/>
      <c r="AP434" s="160"/>
      <c r="AQ434" s="160"/>
      <c r="AR434" s="160"/>
      <c r="AS434" s="159"/>
      <c r="AT434" s="159"/>
      <c r="AU434" s="161"/>
      <c r="AV434" s="157"/>
      <c r="AW434" s="157"/>
      <c r="AX434" s="157"/>
      <c r="AY434" s="157"/>
      <c r="AZ434" s="157"/>
      <c r="BA434" s="157"/>
      <c r="BB434" s="157"/>
      <c r="BC434" s="151"/>
      <c r="BD434" s="157"/>
      <c r="BE434" s="157"/>
      <c r="BF434" s="157"/>
      <c r="BG434" s="157"/>
      <c r="BH434" s="157"/>
      <c r="BI434" s="157"/>
      <c r="BJ434" s="353"/>
      <c r="BK434" s="353"/>
      <c r="BL434" s="353"/>
      <c r="BM434" s="14"/>
      <c r="BN434" s="14"/>
      <c r="BO434" s="14"/>
    </row>
    <row r="435" spans="1:67" ht="20.100000000000001" customHeight="1">
      <c r="A435" s="157"/>
      <c r="B435" s="1"/>
      <c r="C435" s="157"/>
      <c r="D435" s="1"/>
      <c r="E435" s="150"/>
      <c r="F435" s="150"/>
      <c r="G435" s="151"/>
      <c r="H435" s="150"/>
      <c r="I435" s="150"/>
      <c r="J435" s="151"/>
      <c r="K435" s="151"/>
      <c r="L435" s="150"/>
      <c r="M435" s="151"/>
      <c r="N435" s="151"/>
      <c r="O435" s="151"/>
      <c r="P435" s="150"/>
      <c r="Q435" s="150"/>
      <c r="R435" s="158"/>
      <c r="S435" s="158"/>
      <c r="T435" s="158"/>
      <c r="U435" s="158"/>
      <c r="V435" s="1"/>
      <c r="W435" s="1"/>
      <c r="X435" s="157"/>
      <c r="Y435" s="157"/>
      <c r="Z435" s="157"/>
      <c r="AA435" s="157"/>
      <c r="AB435" s="157"/>
      <c r="AC435" s="151"/>
      <c r="AD435" s="151"/>
      <c r="AE435" s="151"/>
      <c r="AF435" s="157"/>
      <c r="AG435" s="157"/>
      <c r="AH435" s="157"/>
      <c r="AI435" s="157"/>
      <c r="AJ435" s="157"/>
      <c r="AK435" s="157"/>
      <c r="AL435" s="157"/>
      <c r="AM435" s="157"/>
      <c r="AN435" s="159"/>
      <c r="AO435" s="159"/>
      <c r="AP435" s="160"/>
      <c r="AQ435" s="160"/>
      <c r="AR435" s="160"/>
      <c r="AS435" s="159"/>
      <c r="AT435" s="159"/>
      <c r="AU435" s="161"/>
      <c r="AV435" s="157"/>
      <c r="AW435" s="157"/>
      <c r="AX435" s="157"/>
      <c r="AY435" s="157"/>
      <c r="AZ435" s="157"/>
      <c r="BA435" s="157"/>
      <c r="BB435" s="157"/>
      <c r="BC435" s="151"/>
      <c r="BD435" s="157"/>
      <c r="BE435" s="157"/>
      <c r="BF435" s="157"/>
      <c r="BG435" s="157"/>
      <c r="BH435" s="157"/>
      <c r="BI435" s="157"/>
      <c r="BJ435" s="353"/>
      <c r="BK435" s="353"/>
      <c r="BL435" s="353"/>
      <c r="BM435" s="14"/>
      <c r="BN435" s="14"/>
      <c r="BO435" s="14"/>
    </row>
    <row r="436" spans="1:67" ht="20.100000000000001" customHeight="1">
      <c r="A436" s="157"/>
      <c r="B436" s="1"/>
      <c r="C436" s="157"/>
      <c r="D436" s="1"/>
      <c r="E436" s="150"/>
      <c r="F436" s="150"/>
      <c r="G436" s="151"/>
      <c r="H436" s="150"/>
      <c r="I436" s="150"/>
      <c r="J436" s="151"/>
      <c r="K436" s="151"/>
      <c r="L436" s="150"/>
      <c r="M436" s="151"/>
      <c r="N436" s="151"/>
      <c r="O436" s="151"/>
      <c r="P436" s="150"/>
      <c r="Q436" s="150"/>
      <c r="R436" s="158"/>
      <c r="S436" s="158"/>
      <c r="T436" s="158"/>
      <c r="U436" s="158"/>
      <c r="V436" s="1"/>
      <c r="W436" s="1"/>
      <c r="X436" s="157"/>
      <c r="Y436" s="157"/>
      <c r="Z436" s="157"/>
      <c r="AA436" s="157"/>
      <c r="AB436" s="157"/>
      <c r="AC436" s="151"/>
      <c r="AD436" s="151"/>
      <c r="AE436" s="151"/>
      <c r="AF436" s="157"/>
      <c r="AG436" s="157"/>
      <c r="AH436" s="157"/>
      <c r="AI436" s="157"/>
      <c r="AJ436" s="157"/>
      <c r="AK436" s="157"/>
      <c r="AL436" s="157"/>
      <c r="AM436" s="157"/>
      <c r="AN436" s="159"/>
      <c r="AO436" s="159"/>
      <c r="AP436" s="160"/>
      <c r="AQ436" s="160"/>
      <c r="AR436" s="160"/>
      <c r="AS436" s="159"/>
      <c r="AT436" s="159"/>
      <c r="AU436" s="161"/>
      <c r="AV436" s="157"/>
      <c r="AW436" s="157"/>
      <c r="AX436" s="157"/>
      <c r="AY436" s="157"/>
      <c r="AZ436" s="157"/>
      <c r="BA436" s="157"/>
      <c r="BB436" s="157"/>
      <c r="BC436" s="151"/>
      <c r="BD436" s="157"/>
      <c r="BE436" s="157"/>
      <c r="BF436" s="157"/>
      <c r="BG436" s="157"/>
      <c r="BH436" s="157"/>
      <c r="BI436" s="157"/>
      <c r="BJ436" s="353"/>
      <c r="BK436" s="353"/>
      <c r="BL436" s="353"/>
      <c r="BM436" s="14"/>
      <c r="BN436" s="14"/>
      <c r="BO436" s="14"/>
    </row>
    <row r="437" spans="1:67" ht="20.100000000000001" customHeight="1">
      <c r="A437" s="157"/>
      <c r="B437" s="1"/>
      <c r="C437" s="157"/>
      <c r="D437" s="1"/>
      <c r="E437" s="150"/>
      <c r="F437" s="150"/>
      <c r="G437" s="151"/>
      <c r="H437" s="150"/>
      <c r="I437" s="150"/>
      <c r="J437" s="151"/>
      <c r="K437" s="151"/>
      <c r="L437" s="150"/>
      <c r="M437" s="151"/>
      <c r="N437" s="151"/>
      <c r="O437" s="151"/>
      <c r="P437" s="150"/>
      <c r="Q437" s="150"/>
      <c r="R437" s="158"/>
      <c r="S437" s="158"/>
      <c r="T437" s="158"/>
      <c r="U437" s="158"/>
      <c r="V437" s="1"/>
      <c r="W437" s="1"/>
      <c r="X437" s="157"/>
      <c r="Y437" s="157"/>
      <c r="Z437" s="157"/>
      <c r="AA437" s="157"/>
      <c r="AB437" s="157"/>
      <c r="AC437" s="151"/>
      <c r="AD437" s="151"/>
      <c r="AE437" s="151"/>
      <c r="AF437" s="157"/>
      <c r="AG437" s="157"/>
      <c r="AH437" s="157"/>
      <c r="AI437" s="157"/>
      <c r="AJ437" s="157"/>
      <c r="AK437" s="157"/>
      <c r="AL437" s="157"/>
      <c r="AM437" s="157"/>
      <c r="AN437" s="159"/>
      <c r="AO437" s="159"/>
      <c r="AP437" s="160"/>
      <c r="AQ437" s="160"/>
      <c r="AR437" s="160"/>
      <c r="AS437" s="159"/>
      <c r="AT437" s="159"/>
      <c r="AU437" s="161"/>
      <c r="AV437" s="157"/>
      <c r="AW437" s="157"/>
      <c r="AX437" s="157"/>
      <c r="AY437" s="157"/>
      <c r="AZ437" s="157"/>
      <c r="BA437" s="157"/>
      <c r="BB437" s="157"/>
      <c r="BC437" s="151"/>
      <c r="BD437" s="157"/>
      <c r="BE437" s="157"/>
      <c r="BF437" s="157"/>
      <c r="BG437" s="157"/>
      <c r="BH437" s="157"/>
      <c r="BI437" s="157"/>
      <c r="BJ437" s="353"/>
      <c r="BK437" s="353"/>
      <c r="BL437" s="353"/>
      <c r="BM437" s="14"/>
      <c r="BN437" s="14"/>
      <c r="BO437" s="14"/>
    </row>
    <row r="438" spans="1:67" ht="20.100000000000001" customHeight="1">
      <c r="A438" s="157"/>
      <c r="B438" s="1"/>
      <c r="C438" s="157"/>
      <c r="D438" s="1"/>
      <c r="E438" s="150"/>
      <c r="F438" s="150"/>
      <c r="G438" s="151"/>
      <c r="H438" s="150"/>
      <c r="I438" s="150"/>
      <c r="J438" s="151"/>
      <c r="K438" s="151"/>
      <c r="L438" s="150"/>
      <c r="M438" s="151"/>
      <c r="N438" s="151"/>
      <c r="O438" s="151"/>
      <c r="P438" s="150"/>
      <c r="Q438" s="150"/>
      <c r="R438" s="158"/>
      <c r="S438" s="158"/>
      <c r="T438" s="158"/>
      <c r="U438" s="158"/>
      <c r="V438" s="1"/>
      <c r="W438" s="1"/>
      <c r="X438" s="157"/>
      <c r="Y438" s="157"/>
      <c r="Z438" s="157"/>
      <c r="AA438" s="157"/>
      <c r="AB438" s="157"/>
      <c r="AC438" s="151"/>
      <c r="AD438" s="151"/>
      <c r="AE438" s="151"/>
      <c r="AF438" s="157"/>
      <c r="AG438" s="157"/>
      <c r="AH438" s="157"/>
      <c r="AI438" s="157"/>
      <c r="AJ438" s="157"/>
      <c r="AK438" s="157"/>
      <c r="AL438" s="157"/>
      <c r="AM438" s="157"/>
      <c r="AN438" s="159"/>
      <c r="AO438" s="159"/>
      <c r="AP438" s="160"/>
      <c r="AQ438" s="160"/>
      <c r="AR438" s="160"/>
      <c r="AS438" s="159"/>
      <c r="AT438" s="159"/>
      <c r="AU438" s="161"/>
      <c r="AV438" s="157"/>
      <c r="AW438" s="157"/>
      <c r="AX438" s="157"/>
      <c r="AY438" s="157"/>
      <c r="AZ438" s="157"/>
      <c r="BA438" s="157"/>
      <c r="BB438" s="157"/>
      <c r="BC438" s="151"/>
      <c r="BD438" s="157"/>
      <c r="BE438" s="157"/>
      <c r="BF438" s="157"/>
      <c r="BG438" s="157"/>
      <c r="BH438" s="157"/>
      <c r="BI438" s="157"/>
      <c r="BJ438" s="353"/>
      <c r="BK438" s="353"/>
      <c r="BL438" s="353"/>
      <c r="BM438" s="14"/>
      <c r="BN438" s="14"/>
      <c r="BO438" s="14"/>
    </row>
    <row r="439" spans="1:67" ht="20.100000000000001" customHeight="1">
      <c r="A439" s="157"/>
      <c r="B439" s="1"/>
      <c r="C439" s="157"/>
      <c r="D439" s="1"/>
      <c r="E439" s="150"/>
      <c r="F439" s="150"/>
      <c r="G439" s="151"/>
      <c r="H439" s="150"/>
      <c r="I439" s="150"/>
      <c r="J439" s="151"/>
      <c r="K439" s="151"/>
      <c r="L439" s="150"/>
      <c r="M439" s="151"/>
      <c r="N439" s="151"/>
      <c r="O439" s="151"/>
      <c r="P439" s="150"/>
      <c r="Q439" s="150"/>
      <c r="R439" s="158"/>
      <c r="S439" s="158"/>
      <c r="T439" s="158"/>
      <c r="U439" s="158"/>
      <c r="V439" s="1"/>
      <c r="W439" s="1"/>
      <c r="X439" s="157"/>
      <c r="Y439" s="157"/>
      <c r="Z439" s="157"/>
      <c r="AA439" s="157"/>
      <c r="AB439" s="157"/>
      <c r="AC439" s="151"/>
      <c r="AD439" s="151"/>
      <c r="AE439" s="151"/>
      <c r="AF439" s="157"/>
      <c r="AG439" s="157"/>
      <c r="AH439" s="157"/>
      <c r="AI439" s="157"/>
      <c r="AJ439" s="157"/>
      <c r="AK439" s="157"/>
      <c r="AL439" s="157"/>
      <c r="AM439" s="157"/>
      <c r="AN439" s="159"/>
      <c r="AO439" s="159"/>
      <c r="AP439" s="160"/>
      <c r="AQ439" s="160"/>
      <c r="AR439" s="160"/>
      <c r="AS439" s="159"/>
      <c r="AT439" s="159"/>
      <c r="AU439" s="161"/>
      <c r="AV439" s="157"/>
      <c r="AW439" s="157"/>
      <c r="AX439" s="157"/>
      <c r="AY439" s="157"/>
      <c r="AZ439" s="157"/>
      <c r="BA439" s="157"/>
      <c r="BB439" s="157"/>
      <c r="BC439" s="151"/>
      <c r="BD439" s="157"/>
      <c r="BE439" s="157"/>
      <c r="BF439" s="157"/>
      <c r="BG439" s="157"/>
      <c r="BH439" s="157"/>
      <c r="BI439" s="157"/>
      <c r="BJ439" s="353"/>
      <c r="BK439" s="353"/>
      <c r="BL439" s="353"/>
      <c r="BM439" s="14"/>
      <c r="BN439" s="14"/>
      <c r="BO439" s="14"/>
    </row>
    <row r="440" spans="1:67" ht="20.100000000000001" customHeight="1">
      <c r="A440" s="157"/>
      <c r="B440" s="1"/>
      <c r="C440" s="157"/>
      <c r="D440" s="1"/>
      <c r="E440" s="150"/>
      <c r="F440" s="150"/>
      <c r="G440" s="151"/>
      <c r="H440" s="150"/>
      <c r="I440" s="150"/>
      <c r="J440" s="151"/>
      <c r="K440" s="151"/>
      <c r="L440" s="150"/>
      <c r="M440" s="151"/>
      <c r="N440" s="151"/>
      <c r="O440" s="151"/>
      <c r="P440" s="150"/>
      <c r="Q440" s="150"/>
      <c r="R440" s="158"/>
      <c r="S440" s="158"/>
      <c r="T440" s="158"/>
      <c r="U440" s="158"/>
      <c r="V440" s="1"/>
      <c r="W440" s="1"/>
      <c r="X440" s="157"/>
      <c r="Y440" s="157"/>
      <c r="Z440" s="157"/>
      <c r="AA440" s="157"/>
      <c r="AB440" s="157"/>
      <c r="AC440" s="151"/>
      <c r="AD440" s="151"/>
      <c r="AE440" s="151"/>
      <c r="AF440" s="157"/>
      <c r="AG440" s="157"/>
      <c r="AH440" s="157"/>
      <c r="AI440" s="157"/>
      <c r="AJ440" s="157"/>
      <c r="AK440" s="157"/>
      <c r="AL440" s="157"/>
      <c r="AM440" s="157"/>
      <c r="AN440" s="159"/>
      <c r="AO440" s="159"/>
      <c r="AP440" s="160"/>
      <c r="AQ440" s="160"/>
      <c r="AR440" s="160"/>
      <c r="AS440" s="159"/>
      <c r="AT440" s="159"/>
      <c r="AU440" s="161"/>
      <c r="AV440" s="157"/>
      <c r="AW440" s="157"/>
      <c r="AX440" s="157"/>
      <c r="AY440" s="157"/>
      <c r="AZ440" s="157"/>
      <c r="BA440" s="157"/>
      <c r="BB440" s="157"/>
      <c r="BC440" s="151"/>
      <c r="BD440" s="157"/>
      <c r="BE440" s="157"/>
      <c r="BF440" s="157"/>
      <c r="BG440" s="157"/>
      <c r="BH440" s="157"/>
      <c r="BI440" s="157"/>
      <c r="BJ440" s="353"/>
      <c r="BK440" s="353"/>
      <c r="BL440" s="353"/>
      <c r="BM440" s="14"/>
      <c r="BN440" s="14"/>
      <c r="BO440" s="14"/>
    </row>
    <row r="441" spans="1:67" ht="20.100000000000001" customHeight="1">
      <c r="A441" s="157"/>
      <c r="B441" s="1"/>
      <c r="C441" s="157"/>
      <c r="D441" s="1"/>
      <c r="E441" s="150"/>
      <c r="F441" s="150"/>
      <c r="G441" s="151"/>
      <c r="H441" s="150"/>
      <c r="I441" s="150"/>
      <c r="J441" s="151"/>
      <c r="K441" s="151"/>
      <c r="L441" s="150"/>
      <c r="M441" s="151"/>
      <c r="N441" s="151"/>
      <c r="O441" s="151"/>
      <c r="P441" s="150"/>
      <c r="Q441" s="150"/>
      <c r="R441" s="158"/>
      <c r="S441" s="158"/>
      <c r="T441" s="158"/>
      <c r="U441" s="158"/>
      <c r="V441" s="1"/>
      <c r="W441" s="1"/>
      <c r="X441" s="157"/>
      <c r="Y441" s="157"/>
      <c r="Z441" s="157"/>
      <c r="AA441" s="157"/>
      <c r="AB441" s="157"/>
      <c r="AC441" s="151"/>
      <c r="AD441" s="151"/>
      <c r="AE441" s="151"/>
      <c r="AF441" s="157"/>
      <c r="AG441" s="157"/>
      <c r="AH441" s="157"/>
      <c r="AI441" s="157"/>
      <c r="AJ441" s="157"/>
      <c r="AK441" s="157"/>
      <c r="AL441" s="157"/>
      <c r="AM441" s="157"/>
      <c r="AN441" s="159"/>
      <c r="AO441" s="159"/>
      <c r="AP441" s="160"/>
      <c r="AQ441" s="160"/>
      <c r="AR441" s="160"/>
      <c r="AS441" s="159"/>
      <c r="AT441" s="159"/>
      <c r="AU441" s="161"/>
      <c r="AV441" s="157"/>
      <c r="AW441" s="157"/>
      <c r="AX441" s="157"/>
      <c r="AY441" s="157"/>
      <c r="AZ441" s="157"/>
      <c r="BA441" s="157"/>
      <c r="BB441" s="157"/>
      <c r="BC441" s="151"/>
      <c r="BD441" s="157"/>
      <c r="BE441" s="157"/>
      <c r="BF441" s="157"/>
      <c r="BG441" s="157"/>
      <c r="BH441" s="157"/>
      <c r="BI441" s="157"/>
      <c r="BJ441" s="353"/>
      <c r="BK441" s="353"/>
      <c r="BL441" s="353"/>
      <c r="BM441" s="14"/>
      <c r="BN441" s="14"/>
      <c r="BO441" s="14"/>
    </row>
    <row r="442" spans="1:67" ht="20.100000000000001" customHeight="1">
      <c r="A442" s="157"/>
      <c r="B442" s="1"/>
      <c r="C442" s="157"/>
      <c r="D442" s="1"/>
      <c r="E442" s="150"/>
      <c r="F442" s="150"/>
      <c r="G442" s="151"/>
      <c r="H442" s="150"/>
      <c r="I442" s="150"/>
      <c r="J442" s="151"/>
      <c r="K442" s="151"/>
      <c r="L442" s="150"/>
      <c r="M442" s="151"/>
      <c r="N442" s="151"/>
      <c r="O442" s="151"/>
      <c r="P442" s="150"/>
      <c r="Q442" s="150"/>
      <c r="R442" s="158"/>
      <c r="S442" s="158"/>
      <c r="T442" s="158"/>
      <c r="U442" s="158"/>
      <c r="V442" s="1"/>
      <c r="W442" s="1"/>
      <c r="X442" s="157"/>
      <c r="Y442" s="157"/>
      <c r="Z442" s="157"/>
      <c r="AA442" s="157"/>
      <c r="AB442" s="157"/>
      <c r="AC442" s="151"/>
      <c r="AD442" s="151"/>
      <c r="AE442" s="151"/>
      <c r="AF442" s="157"/>
      <c r="AG442" s="157"/>
      <c r="AH442" s="157"/>
      <c r="AI442" s="157"/>
      <c r="AJ442" s="157"/>
      <c r="AK442" s="157"/>
      <c r="AL442" s="157"/>
      <c r="AM442" s="157"/>
      <c r="AN442" s="159"/>
      <c r="AO442" s="159"/>
      <c r="AP442" s="160"/>
      <c r="AQ442" s="160"/>
      <c r="AR442" s="160"/>
      <c r="AS442" s="159"/>
      <c r="AT442" s="159"/>
      <c r="AU442" s="161"/>
      <c r="AV442" s="157"/>
      <c r="AW442" s="157"/>
      <c r="AX442" s="157"/>
      <c r="AY442" s="157"/>
      <c r="AZ442" s="157"/>
      <c r="BA442" s="157"/>
      <c r="BB442" s="157"/>
      <c r="BC442" s="151"/>
      <c r="BD442" s="157"/>
      <c r="BE442" s="157"/>
      <c r="BF442" s="157"/>
      <c r="BG442" s="157"/>
      <c r="BH442" s="157"/>
      <c r="BI442" s="157"/>
      <c r="BJ442" s="353"/>
      <c r="BK442" s="353"/>
      <c r="BL442" s="353"/>
      <c r="BM442" s="14"/>
      <c r="BN442" s="14"/>
      <c r="BO442" s="14"/>
    </row>
    <row r="443" spans="1:67" ht="20.100000000000001" customHeight="1">
      <c r="A443" s="157"/>
      <c r="B443" s="1"/>
      <c r="C443" s="157"/>
      <c r="D443" s="1"/>
      <c r="E443" s="150"/>
      <c r="F443" s="150"/>
      <c r="G443" s="151"/>
      <c r="H443" s="150"/>
      <c r="I443" s="150"/>
      <c r="J443" s="151"/>
      <c r="K443" s="151"/>
      <c r="L443" s="150"/>
      <c r="M443" s="151"/>
      <c r="N443" s="151"/>
      <c r="O443" s="151"/>
      <c r="P443" s="150"/>
      <c r="Q443" s="150"/>
      <c r="R443" s="158"/>
      <c r="S443" s="158"/>
      <c r="T443" s="158"/>
      <c r="U443" s="158"/>
      <c r="V443" s="1"/>
      <c r="W443" s="1"/>
      <c r="X443" s="157"/>
      <c r="Y443" s="157"/>
      <c r="Z443" s="157"/>
      <c r="AA443" s="157"/>
      <c r="AB443" s="157"/>
      <c r="AC443" s="151"/>
      <c r="AD443" s="151"/>
      <c r="AE443" s="151"/>
      <c r="AF443" s="157"/>
      <c r="AG443" s="157"/>
      <c r="AH443" s="157"/>
      <c r="AI443" s="157"/>
      <c r="AJ443" s="157"/>
      <c r="AK443" s="157"/>
      <c r="AL443" s="157"/>
      <c r="AM443" s="157"/>
      <c r="AN443" s="159"/>
      <c r="AO443" s="159"/>
      <c r="AP443" s="160"/>
      <c r="AQ443" s="160"/>
      <c r="AR443" s="160"/>
      <c r="AS443" s="159"/>
      <c r="AT443" s="159"/>
      <c r="AU443" s="161"/>
      <c r="AV443" s="157"/>
      <c r="AW443" s="157"/>
      <c r="AX443" s="157"/>
      <c r="AY443" s="157"/>
      <c r="AZ443" s="157"/>
      <c r="BA443" s="157"/>
      <c r="BB443" s="157"/>
      <c r="BC443" s="151"/>
      <c r="BD443" s="157"/>
      <c r="BE443" s="157"/>
      <c r="BF443" s="157"/>
      <c r="BG443" s="157"/>
      <c r="BH443" s="157"/>
      <c r="BI443" s="157"/>
      <c r="BJ443" s="353"/>
      <c r="BK443" s="353"/>
      <c r="BL443" s="353"/>
      <c r="BM443" s="14"/>
      <c r="BN443" s="14"/>
      <c r="BO443" s="14"/>
    </row>
    <row r="444" spans="1:67" ht="20.100000000000001" customHeight="1">
      <c r="A444" s="157"/>
      <c r="B444" s="1"/>
      <c r="C444" s="157"/>
      <c r="D444" s="1"/>
      <c r="E444" s="150"/>
      <c r="F444" s="150"/>
      <c r="G444" s="151"/>
      <c r="H444" s="150"/>
      <c r="I444" s="150"/>
      <c r="J444" s="151"/>
      <c r="K444" s="151"/>
      <c r="L444" s="150"/>
      <c r="M444" s="151"/>
      <c r="N444" s="151"/>
      <c r="O444" s="151"/>
      <c r="P444" s="150"/>
      <c r="Q444" s="150"/>
      <c r="R444" s="158"/>
      <c r="S444" s="158"/>
      <c r="T444" s="158"/>
      <c r="U444" s="158"/>
      <c r="V444" s="1"/>
      <c r="W444" s="1"/>
      <c r="X444" s="157"/>
      <c r="Y444" s="157"/>
      <c r="Z444" s="157"/>
      <c r="AA444" s="157"/>
      <c r="AB444" s="157"/>
      <c r="AC444" s="151"/>
      <c r="AD444" s="151"/>
      <c r="AE444" s="151"/>
      <c r="AF444" s="157"/>
      <c r="AG444" s="157"/>
      <c r="AH444" s="157"/>
      <c r="AI444" s="157"/>
      <c r="AJ444" s="157"/>
      <c r="AK444" s="157"/>
      <c r="AL444" s="157"/>
      <c r="AM444" s="157"/>
      <c r="AN444" s="159"/>
      <c r="AO444" s="159"/>
      <c r="AP444" s="160"/>
      <c r="AQ444" s="160"/>
      <c r="AR444" s="160"/>
      <c r="AS444" s="159"/>
      <c r="AT444" s="159"/>
      <c r="AU444" s="161"/>
      <c r="AV444" s="157"/>
      <c r="AW444" s="157"/>
      <c r="AX444" s="157"/>
      <c r="AY444" s="157"/>
      <c r="AZ444" s="157"/>
      <c r="BA444" s="157"/>
      <c r="BB444" s="157"/>
      <c r="BC444" s="151"/>
      <c r="BD444" s="157"/>
      <c r="BE444" s="157"/>
      <c r="BF444" s="157"/>
      <c r="BG444" s="157"/>
      <c r="BH444" s="157"/>
      <c r="BI444" s="157"/>
      <c r="BJ444" s="353"/>
      <c r="BK444" s="353"/>
      <c r="BL444" s="353"/>
      <c r="BM444" s="14"/>
      <c r="BN444" s="14"/>
      <c r="BO444" s="14"/>
    </row>
    <row r="445" spans="1:67" ht="20.100000000000001" customHeight="1">
      <c r="A445" s="157"/>
      <c r="B445" s="1"/>
      <c r="C445" s="157"/>
      <c r="D445" s="1"/>
      <c r="E445" s="150"/>
      <c r="F445" s="150"/>
      <c r="G445" s="151"/>
      <c r="H445" s="150"/>
      <c r="I445" s="150"/>
      <c r="J445" s="151"/>
      <c r="K445" s="151"/>
      <c r="L445" s="150"/>
      <c r="M445" s="151"/>
      <c r="N445" s="151"/>
      <c r="O445" s="151"/>
      <c r="P445" s="150"/>
      <c r="Q445" s="150"/>
      <c r="R445" s="158"/>
      <c r="S445" s="158"/>
      <c r="T445" s="158"/>
      <c r="U445" s="158"/>
      <c r="V445" s="1"/>
      <c r="W445" s="1"/>
      <c r="X445" s="157"/>
      <c r="Y445" s="157"/>
      <c r="Z445" s="157"/>
      <c r="AA445" s="157"/>
      <c r="AB445" s="157"/>
      <c r="AC445" s="151"/>
      <c r="AD445" s="151"/>
      <c r="AE445" s="151"/>
      <c r="AF445" s="157"/>
      <c r="AG445" s="157"/>
      <c r="AH445" s="157"/>
      <c r="AI445" s="157"/>
      <c r="AJ445" s="157"/>
      <c r="AK445" s="157"/>
      <c r="AL445" s="157"/>
      <c r="AM445" s="157"/>
      <c r="AN445" s="159"/>
      <c r="AO445" s="159"/>
      <c r="AP445" s="160"/>
      <c r="AQ445" s="160"/>
      <c r="AR445" s="160"/>
      <c r="AS445" s="159"/>
      <c r="AT445" s="159"/>
      <c r="AU445" s="161"/>
      <c r="AV445" s="157"/>
      <c r="AW445" s="157"/>
      <c r="AX445" s="157"/>
      <c r="AY445" s="157"/>
      <c r="AZ445" s="157"/>
      <c r="BA445" s="157"/>
      <c r="BB445" s="157"/>
      <c r="BC445" s="151"/>
      <c r="BD445" s="157"/>
      <c r="BE445" s="157"/>
      <c r="BF445" s="157"/>
      <c r="BG445" s="157"/>
      <c r="BH445" s="157"/>
      <c r="BI445" s="157"/>
      <c r="BJ445" s="353"/>
      <c r="BK445" s="353"/>
      <c r="BL445" s="353"/>
      <c r="BM445" s="14"/>
      <c r="BN445" s="14"/>
      <c r="BO445" s="14"/>
    </row>
    <row r="446" spans="1:67" ht="20.100000000000001" customHeight="1">
      <c r="A446" s="157"/>
      <c r="B446" s="1"/>
      <c r="C446" s="157"/>
      <c r="D446" s="1"/>
      <c r="E446" s="150"/>
      <c r="F446" s="150"/>
      <c r="G446" s="151"/>
      <c r="H446" s="150"/>
      <c r="I446" s="150"/>
      <c r="J446" s="151"/>
      <c r="K446" s="151"/>
      <c r="L446" s="150"/>
      <c r="M446" s="151"/>
      <c r="N446" s="151"/>
      <c r="O446" s="151"/>
      <c r="P446" s="150"/>
      <c r="Q446" s="150"/>
      <c r="R446" s="158"/>
      <c r="S446" s="158"/>
      <c r="T446" s="158"/>
      <c r="U446" s="158"/>
      <c r="V446" s="1"/>
      <c r="W446" s="1"/>
      <c r="X446" s="157"/>
      <c r="Y446" s="157"/>
      <c r="Z446" s="157"/>
      <c r="AA446" s="157"/>
      <c r="AB446" s="157"/>
      <c r="AC446" s="151"/>
      <c r="AD446" s="151"/>
      <c r="AE446" s="151"/>
      <c r="AF446" s="157"/>
      <c r="AG446" s="157"/>
      <c r="AH446" s="157"/>
      <c r="AI446" s="157"/>
      <c r="AJ446" s="157"/>
      <c r="AK446" s="157"/>
      <c r="AL446" s="157"/>
      <c r="AM446" s="157"/>
      <c r="AN446" s="159"/>
      <c r="AO446" s="159"/>
      <c r="AP446" s="160"/>
      <c r="AQ446" s="160"/>
      <c r="AR446" s="160"/>
      <c r="AS446" s="159"/>
      <c r="AT446" s="159"/>
      <c r="AU446" s="161"/>
      <c r="AV446" s="157"/>
      <c r="AW446" s="157"/>
      <c r="AX446" s="157"/>
      <c r="AY446" s="157"/>
      <c r="AZ446" s="157"/>
      <c r="BA446" s="157"/>
      <c r="BB446" s="157"/>
      <c r="BC446" s="151"/>
      <c r="BD446" s="157"/>
      <c r="BE446" s="157"/>
      <c r="BF446" s="157"/>
      <c r="BG446" s="157"/>
      <c r="BH446" s="157"/>
      <c r="BI446" s="157"/>
      <c r="BJ446" s="353"/>
      <c r="BK446" s="353"/>
      <c r="BL446" s="353"/>
      <c r="BM446" s="14"/>
      <c r="BN446" s="14"/>
      <c r="BO446" s="14"/>
    </row>
    <row r="447" spans="1:67" ht="20.100000000000001" customHeight="1">
      <c r="A447" s="157"/>
      <c r="B447" s="1"/>
      <c r="C447" s="157"/>
      <c r="D447" s="1"/>
      <c r="E447" s="150"/>
      <c r="F447" s="150"/>
      <c r="G447" s="151"/>
      <c r="H447" s="150"/>
      <c r="I447" s="150"/>
      <c r="J447" s="151"/>
      <c r="K447" s="151"/>
      <c r="L447" s="150"/>
      <c r="M447" s="151"/>
      <c r="N447" s="151"/>
      <c r="O447" s="151"/>
      <c r="P447" s="150"/>
      <c r="Q447" s="150"/>
      <c r="R447" s="158"/>
      <c r="S447" s="158"/>
      <c r="T447" s="158"/>
      <c r="U447" s="158"/>
      <c r="V447" s="1"/>
      <c r="W447" s="1"/>
      <c r="X447" s="157"/>
      <c r="Y447" s="157"/>
      <c r="Z447" s="157"/>
      <c r="AA447" s="157"/>
      <c r="AB447" s="157"/>
      <c r="AC447" s="151"/>
      <c r="AD447" s="151"/>
      <c r="AE447" s="151"/>
      <c r="AF447" s="157"/>
      <c r="AG447" s="157"/>
      <c r="AH447" s="157"/>
      <c r="AI447" s="157"/>
      <c r="AJ447" s="157"/>
      <c r="AK447" s="157"/>
      <c r="AL447" s="157"/>
      <c r="AM447" s="157"/>
      <c r="AN447" s="159"/>
      <c r="AO447" s="159"/>
      <c r="AP447" s="160"/>
      <c r="AQ447" s="160"/>
      <c r="AR447" s="160"/>
      <c r="AS447" s="159"/>
      <c r="AT447" s="159"/>
      <c r="AU447" s="161"/>
      <c r="AV447" s="157"/>
      <c r="AW447" s="157"/>
      <c r="AX447" s="157"/>
      <c r="AY447" s="157"/>
      <c r="AZ447" s="157"/>
      <c r="BA447" s="157"/>
      <c r="BB447" s="157"/>
      <c r="BC447" s="151"/>
      <c r="BD447" s="157"/>
      <c r="BE447" s="157"/>
      <c r="BF447" s="157"/>
      <c r="BG447" s="157"/>
      <c r="BH447" s="157"/>
      <c r="BI447" s="157"/>
      <c r="BJ447" s="353"/>
      <c r="BK447" s="353"/>
      <c r="BL447" s="353"/>
      <c r="BM447" s="14"/>
      <c r="BN447" s="14"/>
      <c r="BO447" s="14"/>
    </row>
    <row r="448" spans="1:67" ht="20.100000000000001" customHeight="1">
      <c r="A448" s="157"/>
      <c r="B448" s="1"/>
      <c r="C448" s="157"/>
      <c r="D448" s="1"/>
      <c r="E448" s="150"/>
      <c r="F448" s="150"/>
      <c r="G448" s="151"/>
      <c r="H448" s="150"/>
      <c r="I448" s="150"/>
      <c r="J448" s="151"/>
      <c r="K448" s="151"/>
      <c r="L448" s="150"/>
      <c r="M448" s="151"/>
      <c r="N448" s="151"/>
      <c r="O448" s="151"/>
      <c r="P448" s="150"/>
      <c r="Q448" s="150"/>
      <c r="R448" s="158"/>
      <c r="S448" s="158"/>
      <c r="T448" s="158"/>
      <c r="U448" s="158"/>
      <c r="V448" s="1"/>
      <c r="W448" s="1"/>
      <c r="X448" s="157"/>
      <c r="Y448" s="157"/>
      <c r="Z448" s="157"/>
      <c r="AA448" s="157"/>
      <c r="AB448" s="157"/>
      <c r="AC448" s="151"/>
      <c r="AD448" s="151"/>
      <c r="AE448" s="151"/>
      <c r="AF448" s="157"/>
      <c r="AG448" s="157"/>
      <c r="AH448" s="157"/>
      <c r="AI448" s="157"/>
      <c r="AJ448" s="157"/>
      <c r="AK448" s="157"/>
      <c r="AL448" s="157"/>
      <c r="AM448" s="157"/>
      <c r="AN448" s="159"/>
      <c r="AO448" s="159"/>
      <c r="AP448" s="160"/>
      <c r="AQ448" s="160"/>
      <c r="AR448" s="160"/>
      <c r="AS448" s="159"/>
      <c r="AT448" s="159"/>
      <c r="AU448" s="161"/>
      <c r="AV448" s="157"/>
      <c r="AW448" s="157"/>
      <c r="AX448" s="157"/>
      <c r="AY448" s="157"/>
      <c r="AZ448" s="157"/>
      <c r="BA448" s="157"/>
      <c r="BB448" s="157"/>
      <c r="BC448" s="151"/>
      <c r="BD448" s="157"/>
      <c r="BE448" s="157"/>
      <c r="BF448" s="157"/>
      <c r="BG448" s="157"/>
      <c r="BH448" s="157"/>
      <c r="BI448" s="157"/>
      <c r="BJ448" s="353"/>
      <c r="BK448" s="353"/>
      <c r="BL448" s="353"/>
      <c r="BM448" s="14"/>
      <c r="BN448" s="14"/>
      <c r="BO448" s="14"/>
    </row>
    <row r="449" spans="1:67" ht="20.100000000000001" customHeight="1">
      <c r="A449" s="157"/>
      <c r="B449" s="1"/>
      <c r="C449" s="157"/>
      <c r="D449" s="1"/>
      <c r="E449" s="150"/>
      <c r="F449" s="150"/>
      <c r="G449" s="151"/>
      <c r="H449" s="150"/>
      <c r="I449" s="150"/>
      <c r="J449" s="151"/>
      <c r="K449" s="151"/>
      <c r="L449" s="150"/>
      <c r="M449" s="151"/>
      <c r="N449" s="151"/>
      <c r="O449" s="151"/>
      <c r="P449" s="150"/>
      <c r="Q449" s="150"/>
      <c r="R449" s="158"/>
      <c r="S449" s="158"/>
      <c r="T449" s="158"/>
      <c r="U449" s="158"/>
      <c r="V449" s="1"/>
      <c r="W449" s="1"/>
      <c r="X449" s="157"/>
      <c r="Y449" s="157"/>
      <c r="Z449" s="157"/>
      <c r="AA449" s="157"/>
      <c r="AB449" s="157"/>
      <c r="AC449" s="151"/>
      <c r="AD449" s="151"/>
      <c r="AE449" s="151"/>
      <c r="AF449" s="157"/>
      <c r="AG449" s="157"/>
      <c r="AH449" s="157"/>
      <c r="AI449" s="157"/>
      <c r="AJ449" s="157"/>
      <c r="AK449" s="157"/>
      <c r="AL449" s="157"/>
      <c r="AM449" s="157"/>
      <c r="AN449" s="159"/>
      <c r="AO449" s="159"/>
      <c r="AP449" s="160"/>
      <c r="AQ449" s="160"/>
      <c r="AR449" s="160"/>
      <c r="AS449" s="159"/>
      <c r="AT449" s="159"/>
      <c r="AU449" s="161"/>
      <c r="AV449" s="157"/>
      <c r="AW449" s="157"/>
      <c r="AX449" s="157"/>
      <c r="AY449" s="157"/>
      <c r="AZ449" s="157"/>
      <c r="BA449" s="157"/>
      <c r="BB449" s="157"/>
      <c r="BC449" s="151"/>
      <c r="BD449" s="157"/>
      <c r="BE449" s="157"/>
      <c r="BF449" s="157"/>
      <c r="BG449" s="157"/>
      <c r="BH449" s="157"/>
      <c r="BI449" s="157"/>
      <c r="BJ449" s="353"/>
      <c r="BK449" s="353"/>
      <c r="BL449" s="353"/>
      <c r="BM449" s="14"/>
      <c r="BN449" s="14"/>
      <c r="BO449" s="14"/>
    </row>
    <row r="450" spans="1:67" ht="20.100000000000001" customHeight="1">
      <c r="A450" s="157"/>
      <c r="B450" s="1"/>
      <c r="C450" s="157"/>
      <c r="D450" s="1"/>
      <c r="E450" s="150"/>
      <c r="F450" s="150"/>
      <c r="G450" s="151"/>
      <c r="H450" s="150"/>
      <c r="I450" s="150"/>
      <c r="J450" s="151"/>
      <c r="K450" s="151"/>
      <c r="L450" s="150"/>
      <c r="M450" s="151"/>
      <c r="N450" s="151"/>
      <c r="O450" s="151"/>
      <c r="P450" s="150"/>
      <c r="Q450" s="150"/>
      <c r="R450" s="158"/>
      <c r="S450" s="158"/>
      <c r="T450" s="158"/>
      <c r="U450" s="158"/>
      <c r="V450" s="1"/>
      <c r="W450" s="1"/>
      <c r="X450" s="157"/>
      <c r="Y450" s="157"/>
      <c r="Z450" s="157"/>
      <c r="AA450" s="157"/>
      <c r="AB450" s="157"/>
      <c r="AC450" s="151"/>
      <c r="AD450" s="151"/>
      <c r="AE450" s="151"/>
      <c r="AF450" s="157"/>
      <c r="AG450" s="157"/>
      <c r="AH450" s="157"/>
      <c r="AI450" s="157"/>
      <c r="AJ450" s="157"/>
      <c r="AK450" s="157"/>
      <c r="AL450" s="157"/>
      <c r="AM450" s="157"/>
      <c r="AN450" s="159"/>
      <c r="AO450" s="159"/>
      <c r="AP450" s="160"/>
      <c r="AQ450" s="160"/>
      <c r="AR450" s="160"/>
      <c r="AS450" s="159"/>
      <c r="AT450" s="159"/>
      <c r="AU450" s="161"/>
      <c r="AV450" s="157"/>
      <c r="AW450" s="157"/>
      <c r="AX450" s="157"/>
      <c r="AY450" s="157"/>
      <c r="AZ450" s="157"/>
      <c r="BA450" s="157"/>
      <c r="BB450" s="157"/>
      <c r="BC450" s="151"/>
      <c r="BD450" s="157"/>
      <c r="BE450" s="157"/>
      <c r="BF450" s="157"/>
      <c r="BG450" s="157"/>
      <c r="BH450" s="157"/>
      <c r="BI450" s="157"/>
      <c r="BJ450" s="353"/>
      <c r="BK450" s="353"/>
      <c r="BL450" s="353"/>
      <c r="BM450" s="14"/>
      <c r="BN450" s="14"/>
      <c r="BO450" s="14"/>
    </row>
    <row r="451" spans="1:67" ht="20.100000000000001" customHeight="1">
      <c r="A451" s="157"/>
      <c r="B451" s="1"/>
      <c r="C451" s="157"/>
      <c r="D451" s="1"/>
      <c r="E451" s="150"/>
      <c r="F451" s="150"/>
      <c r="G451" s="151"/>
      <c r="H451" s="150"/>
      <c r="I451" s="150"/>
      <c r="J451" s="151"/>
      <c r="K451" s="151"/>
      <c r="L451" s="150"/>
      <c r="M451" s="151"/>
      <c r="N451" s="151"/>
      <c r="O451" s="151"/>
      <c r="P451" s="150"/>
      <c r="Q451" s="150"/>
      <c r="R451" s="158"/>
      <c r="S451" s="158"/>
      <c r="T451" s="158"/>
      <c r="U451" s="158"/>
      <c r="V451" s="1"/>
      <c r="W451" s="1"/>
      <c r="X451" s="157"/>
      <c r="Y451" s="157"/>
      <c r="Z451" s="157"/>
      <c r="AA451" s="157"/>
      <c r="AB451" s="157"/>
      <c r="AC451" s="151"/>
      <c r="AD451" s="151"/>
      <c r="AE451" s="151"/>
      <c r="AF451" s="157"/>
      <c r="AG451" s="157"/>
      <c r="AH451" s="157"/>
      <c r="AI451" s="157"/>
      <c r="AJ451" s="157"/>
      <c r="AK451" s="157"/>
      <c r="AL451" s="157"/>
      <c r="AM451" s="157"/>
      <c r="AN451" s="159"/>
      <c r="AO451" s="159"/>
      <c r="AP451" s="160"/>
      <c r="AQ451" s="160"/>
      <c r="AR451" s="160"/>
      <c r="AS451" s="159"/>
      <c r="AT451" s="159"/>
      <c r="AU451" s="161"/>
      <c r="AV451" s="157"/>
      <c r="AW451" s="157"/>
      <c r="AX451" s="157"/>
      <c r="AY451" s="157"/>
      <c r="AZ451" s="157"/>
      <c r="BA451" s="157"/>
      <c r="BB451" s="157"/>
      <c r="BC451" s="151"/>
      <c r="BD451" s="157"/>
      <c r="BE451" s="157"/>
      <c r="BF451" s="157"/>
      <c r="BG451" s="157"/>
      <c r="BH451" s="157"/>
      <c r="BI451" s="157"/>
      <c r="BJ451" s="353"/>
      <c r="BK451" s="353"/>
      <c r="BL451" s="353"/>
      <c r="BM451" s="14"/>
      <c r="BN451" s="14"/>
      <c r="BO451" s="14"/>
    </row>
    <row r="452" spans="1:67" ht="20.100000000000001" customHeight="1">
      <c r="A452" s="157"/>
      <c r="B452" s="1"/>
      <c r="C452" s="157"/>
      <c r="D452" s="1"/>
      <c r="E452" s="150"/>
      <c r="F452" s="150"/>
      <c r="G452" s="151"/>
      <c r="H452" s="150"/>
      <c r="I452" s="150"/>
      <c r="J452" s="151"/>
      <c r="K452" s="151"/>
      <c r="L452" s="150"/>
      <c r="M452" s="151"/>
      <c r="N452" s="151"/>
      <c r="O452" s="151"/>
      <c r="P452" s="150"/>
      <c r="Q452" s="150"/>
      <c r="R452" s="158"/>
      <c r="S452" s="158"/>
      <c r="T452" s="158"/>
      <c r="U452" s="158"/>
      <c r="V452" s="1"/>
      <c r="W452" s="1"/>
      <c r="X452" s="157"/>
      <c r="Y452" s="157"/>
      <c r="Z452" s="157"/>
      <c r="AA452" s="157"/>
      <c r="AB452" s="157"/>
      <c r="AC452" s="151"/>
      <c r="AD452" s="151"/>
      <c r="AE452" s="151"/>
      <c r="AF452" s="157"/>
      <c r="AG452" s="157"/>
      <c r="AH452" s="157"/>
      <c r="AI452" s="157"/>
      <c r="AJ452" s="157"/>
      <c r="AK452" s="157"/>
      <c r="AL452" s="157"/>
      <c r="AM452" s="157"/>
      <c r="AN452" s="159"/>
      <c r="AO452" s="159"/>
      <c r="AP452" s="160"/>
      <c r="AQ452" s="160"/>
      <c r="AR452" s="160"/>
      <c r="AS452" s="159"/>
      <c r="AT452" s="159"/>
      <c r="AU452" s="161"/>
      <c r="AV452" s="157"/>
      <c r="AW452" s="157"/>
      <c r="AX452" s="157"/>
      <c r="AY452" s="157"/>
      <c r="AZ452" s="157"/>
      <c r="BA452" s="157"/>
      <c r="BB452" s="157"/>
      <c r="BC452" s="151"/>
      <c r="BD452" s="157"/>
      <c r="BE452" s="157"/>
      <c r="BF452" s="157"/>
      <c r="BG452" s="157"/>
      <c r="BH452" s="157"/>
      <c r="BI452" s="157"/>
      <c r="BJ452" s="353"/>
      <c r="BK452" s="353"/>
      <c r="BL452" s="353"/>
      <c r="BM452" s="14"/>
      <c r="BN452" s="14"/>
      <c r="BO452" s="14"/>
    </row>
    <row r="453" spans="1:67" ht="20.100000000000001" customHeight="1">
      <c r="A453" s="157"/>
      <c r="B453" s="1"/>
      <c r="C453" s="157"/>
      <c r="D453" s="1"/>
      <c r="E453" s="150"/>
      <c r="F453" s="150"/>
      <c r="G453" s="151"/>
      <c r="H453" s="150"/>
      <c r="I453" s="150"/>
      <c r="J453" s="151"/>
      <c r="K453" s="151"/>
      <c r="L453" s="150"/>
      <c r="M453" s="151"/>
      <c r="N453" s="151"/>
      <c r="O453" s="151"/>
      <c r="P453" s="150"/>
      <c r="Q453" s="150"/>
      <c r="R453" s="158"/>
      <c r="S453" s="158"/>
      <c r="T453" s="158"/>
      <c r="U453" s="158"/>
      <c r="V453" s="1"/>
      <c r="W453" s="1"/>
      <c r="X453" s="157"/>
      <c r="Y453" s="157"/>
      <c r="Z453" s="157"/>
      <c r="AA453" s="157"/>
      <c r="AB453" s="157"/>
      <c r="AC453" s="151"/>
      <c r="AD453" s="151"/>
      <c r="AE453" s="151"/>
      <c r="AF453" s="157"/>
      <c r="AG453" s="157"/>
      <c r="AH453" s="157"/>
      <c r="AI453" s="157"/>
      <c r="AJ453" s="157"/>
      <c r="AK453" s="157"/>
      <c r="AL453" s="157"/>
      <c r="AM453" s="157"/>
      <c r="AN453" s="159"/>
      <c r="AO453" s="159"/>
      <c r="AP453" s="160"/>
      <c r="AQ453" s="160"/>
      <c r="AR453" s="160"/>
      <c r="AS453" s="159"/>
      <c r="AT453" s="159"/>
      <c r="AU453" s="161"/>
      <c r="AV453" s="157"/>
      <c r="AW453" s="157"/>
      <c r="AX453" s="157"/>
      <c r="AY453" s="157"/>
      <c r="AZ453" s="157"/>
      <c r="BA453" s="157"/>
      <c r="BB453" s="157"/>
      <c r="BC453" s="151"/>
      <c r="BD453" s="157"/>
      <c r="BE453" s="157"/>
      <c r="BF453" s="157"/>
      <c r="BG453" s="157"/>
      <c r="BH453" s="157"/>
      <c r="BI453" s="157"/>
      <c r="BJ453" s="353"/>
      <c r="BK453" s="353"/>
      <c r="BL453" s="353"/>
      <c r="BM453" s="14"/>
      <c r="BN453" s="14"/>
      <c r="BO453" s="14"/>
    </row>
    <row r="454" spans="1:67" ht="20.100000000000001" customHeight="1">
      <c r="A454" s="157"/>
      <c r="B454" s="1"/>
      <c r="C454" s="157"/>
      <c r="D454" s="1"/>
      <c r="E454" s="150"/>
      <c r="F454" s="150"/>
      <c r="G454" s="151"/>
      <c r="H454" s="150"/>
      <c r="I454" s="150"/>
      <c r="J454" s="151"/>
      <c r="K454" s="151"/>
      <c r="L454" s="150"/>
      <c r="M454" s="151"/>
      <c r="N454" s="151"/>
      <c r="O454" s="151"/>
      <c r="P454" s="150"/>
      <c r="Q454" s="150"/>
      <c r="R454" s="158"/>
      <c r="S454" s="158"/>
      <c r="T454" s="158"/>
      <c r="U454" s="158"/>
      <c r="V454" s="1"/>
      <c r="W454" s="1"/>
      <c r="X454" s="157"/>
      <c r="Y454" s="157"/>
      <c r="Z454" s="157"/>
      <c r="AA454" s="157"/>
      <c r="AB454" s="157"/>
      <c r="AC454" s="151"/>
      <c r="AD454" s="151"/>
      <c r="AE454" s="151"/>
      <c r="AF454" s="157"/>
      <c r="AG454" s="157"/>
      <c r="AH454" s="157"/>
      <c r="AI454" s="157"/>
      <c r="AJ454" s="157"/>
      <c r="AK454" s="157"/>
      <c r="AL454" s="157"/>
      <c r="AM454" s="157"/>
      <c r="AN454" s="159"/>
      <c r="AO454" s="159"/>
      <c r="AP454" s="160"/>
      <c r="AQ454" s="160"/>
      <c r="AR454" s="160"/>
      <c r="AS454" s="159"/>
      <c r="AT454" s="159"/>
      <c r="AU454" s="161"/>
      <c r="AV454" s="157"/>
      <c r="AW454" s="157"/>
      <c r="AX454" s="157"/>
      <c r="AY454" s="157"/>
      <c r="AZ454" s="157"/>
      <c r="BA454" s="157"/>
      <c r="BB454" s="157"/>
      <c r="BC454" s="151"/>
      <c r="BD454" s="157"/>
      <c r="BE454" s="157"/>
      <c r="BF454" s="157"/>
      <c r="BG454" s="157"/>
      <c r="BH454" s="157"/>
      <c r="BI454" s="157"/>
      <c r="BJ454" s="353"/>
      <c r="BK454" s="353"/>
      <c r="BL454" s="353"/>
      <c r="BM454" s="14"/>
      <c r="BN454" s="14"/>
      <c r="BO454" s="14"/>
    </row>
    <row r="455" spans="1:67" ht="20.100000000000001" customHeight="1">
      <c r="A455" s="157"/>
      <c r="B455" s="1"/>
      <c r="C455" s="157"/>
      <c r="D455" s="1"/>
      <c r="E455" s="150"/>
      <c r="F455" s="150"/>
      <c r="G455" s="151"/>
      <c r="H455" s="150"/>
      <c r="I455" s="150"/>
      <c r="J455" s="151"/>
      <c r="K455" s="151"/>
      <c r="L455" s="150"/>
      <c r="M455" s="151"/>
      <c r="N455" s="151"/>
      <c r="O455" s="151"/>
      <c r="P455" s="150"/>
      <c r="Q455" s="150"/>
      <c r="R455" s="158"/>
      <c r="S455" s="158"/>
      <c r="T455" s="158"/>
      <c r="U455" s="158"/>
      <c r="V455" s="1"/>
      <c r="W455" s="1"/>
      <c r="X455" s="157"/>
      <c r="Y455" s="157"/>
      <c r="Z455" s="157"/>
      <c r="AA455" s="157"/>
      <c r="AB455" s="157"/>
      <c r="AC455" s="151"/>
      <c r="AD455" s="151"/>
      <c r="AE455" s="151"/>
      <c r="AF455" s="157"/>
      <c r="AG455" s="157"/>
      <c r="AH455" s="157"/>
      <c r="AI455" s="157"/>
      <c r="AJ455" s="157"/>
      <c r="AK455" s="157"/>
      <c r="AL455" s="157"/>
      <c r="AM455" s="157"/>
      <c r="AN455" s="159"/>
      <c r="AO455" s="159"/>
      <c r="AP455" s="160"/>
      <c r="AQ455" s="160"/>
      <c r="AR455" s="160"/>
      <c r="AS455" s="159"/>
      <c r="AT455" s="159"/>
      <c r="AU455" s="161"/>
      <c r="AV455" s="157"/>
      <c r="AW455" s="157"/>
      <c r="AX455" s="157"/>
      <c r="AY455" s="157"/>
      <c r="AZ455" s="157"/>
      <c r="BA455" s="157"/>
      <c r="BB455" s="157"/>
      <c r="BC455" s="151"/>
      <c r="BD455" s="157"/>
      <c r="BE455" s="157"/>
      <c r="BF455" s="157"/>
      <c r="BG455" s="157"/>
      <c r="BH455" s="157"/>
      <c r="BI455" s="157"/>
      <c r="BJ455" s="353"/>
      <c r="BK455" s="353"/>
      <c r="BL455" s="353"/>
      <c r="BM455" s="14"/>
      <c r="BN455" s="14"/>
      <c r="BO455" s="14"/>
    </row>
    <row r="456" spans="1:67" ht="20.100000000000001" customHeight="1">
      <c r="A456" s="157"/>
      <c r="B456" s="1"/>
      <c r="C456" s="157"/>
      <c r="D456" s="1"/>
      <c r="E456" s="150"/>
      <c r="F456" s="150"/>
      <c r="G456" s="151"/>
      <c r="H456" s="150"/>
      <c r="I456" s="150"/>
      <c r="J456" s="151"/>
      <c r="K456" s="151"/>
      <c r="L456" s="150"/>
      <c r="M456" s="151"/>
      <c r="N456" s="151"/>
      <c r="O456" s="151"/>
      <c r="P456" s="150"/>
      <c r="Q456" s="150"/>
      <c r="R456" s="158"/>
      <c r="S456" s="158"/>
      <c r="T456" s="158"/>
      <c r="U456" s="158"/>
      <c r="V456" s="1"/>
      <c r="W456" s="1"/>
      <c r="X456" s="157"/>
      <c r="Y456" s="157"/>
      <c r="Z456" s="157"/>
      <c r="AA456" s="157"/>
      <c r="AB456" s="157"/>
      <c r="AC456" s="151"/>
      <c r="AD456" s="151"/>
      <c r="AE456" s="151"/>
      <c r="AF456" s="157"/>
      <c r="AG456" s="157"/>
      <c r="AH456" s="157"/>
      <c r="AI456" s="157"/>
      <c r="AJ456" s="157"/>
      <c r="AK456" s="157"/>
      <c r="AL456" s="157"/>
      <c r="AM456" s="157"/>
      <c r="AN456" s="159"/>
      <c r="AO456" s="159"/>
      <c r="AP456" s="160"/>
      <c r="AQ456" s="160"/>
      <c r="AR456" s="160"/>
      <c r="AS456" s="159"/>
      <c r="AT456" s="159"/>
      <c r="AU456" s="161"/>
      <c r="AV456" s="157"/>
      <c r="AW456" s="157"/>
      <c r="AX456" s="157"/>
      <c r="AY456" s="157"/>
      <c r="AZ456" s="157"/>
      <c r="BA456" s="157"/>
      <c r="BB456" s="157"/>
      <c r="BC456" s="151"/>
      <c r="BD456" s="157"/>
      <c r="BE456" s="157"/>
      <c r="BF456" s="157"/>
      <c r="BG456" s="157"/>
      <c r="BH456" s="157"/>
      <c r="BI456" s="157"/>
      <c r="BJ456" s="353"/>
      <c r="BK456" s="353"/>
      <c r="BL456" s="353"/>
      <c r="BM456" s="14"/>
      <c r="BN456" s="14"/>
      <c r="BO456" s="14"/>
    </row>
    <row r="457" spans="1:67" ht="20.100000000000001" customHeight="1">
      <c r="A457" s="157"/>
      <c r="B457" s="1"/>
      <c r="C457" s="157"/>
      <c r="D457" s="1"/>
      <c r="E457" s="150"/>
      <c r="F457" s="150"/>
      <c r="G457" s="151"/>
      <c r="H457" s="150"/>
      <c r="I457" s="150"/>
      <c r="J457" s="151"/>
      <c r="K457" s="151"/>
      <c r="L457" s="150"/>
      <c r="M457" s="151"/>
      <c r="N457" s="151"/>
      <c r="O457" s="151"/>
      <c r="P457" s="150"/>
      <c r="Q457" s="150"/>
      <c r="R457" s="158"/>
      <c r="S457" s="158"/>
      <c r="T457" s="158"/>
      <c r="U457" s="158"/>
      <c r="V457" s="1"/>
      <c r="W457" s="1"/>
      <c r="X457" s="157"/>
      <c r="Y457" s="157"/>
      <c r="Z457" s="157"/>
      <c r="AA457" s="157"/>
      <c r="AB457" s="157"/>
      <c r="AC457" s="151"/>
      <c r="AD457" s="151"/>
      <c r="AE457" s="151"/>
      <c r="AF457" s="157"/>
      <c r="AG457" s="157"/>
      <c r="AH457" s="157"/>
      <c r="AI457" s="157"/>
      <c r="AJ457" s="157"/>
      <c r="AK457" s="157"/>
      <c r="AL457" s="157"/>
      <c r="AM457" s="157"/>
      <c r="AN457" s="159"/>
      <c r="AO457" s="159"/>
      <c r="AP457" s="160"/>
      <c r="AQ457" s="160"/>
      <c r="AR457" s="160"/>
      <c r="AS457" s="159"/>
      <c r="AT457" s="159"/>
      <c r="AU457" s="161"/>
      <c r="AV457" s="157"/>
      <c r="AW457" s="157"/>
      <c r="AX457" s="157"/>
      <c r="AY457" s="157"/>
      <c r="AZ457" s="157"/>
      <c r="BA457" s="157"/>
      <c r="BB457" s="157"/>
      <c r="BC457" s="151"/>
      <c r="BD457" s="157"/>
      <c r="BE457" s="157"/>
      <c r="BF457" s="157"/>
      <c r="BG457" s="157"/>
      <c r="BH457" s="157"/>
      <c r="BI457" s="157"/>
      <c r="BJ457" s="353"/>
      <c r="BK457" s="353"/>
      <c r="BL457" s="353"/>
      <c r="BM457" s="14"/>
      <c r="BN457" s="14"/>
      <c r="BO457" s="14"/>
    </row>
    <row r="458" spans="1:67" ht="20.100000000000001" customHeight="1">
      <c r="A458" s="157"/>
      <c r="B458" s="1"/>
      <c r="C458" s="157"/>
      <c r="D458" s="1"/>
      <c r="E458" s="150"/>
      <c r="F458" s="150"/>
      <c r="G458" s="151"/>
      <c r="H458" s="150"/>
      <c r="I458" s="150"/>
      <c r="J458" s="151"/>
      <c r="K458" s="151"/>
      <c r="L458" s="150"/>
      <c r="M458" s="151"/>
      <c r="N458" s="151"/>
      <c r="O458" s="151"/>
      <c r="P458" s="150"/>
      <c r="Q458" s="150"/>
      <c r="R458" s="158"/>
      <c r="S458" s="158"/>
      <c r="T458" s="158"/>
      <c r="U458" s="158"/>
      <c r="V458" s="1"/>
      <c r="W458" s="1"/>
      <c r="X458" s="157"/>
      <c r="Y458" s="157"/>
      <c r="Z458" s="157"/>
      <c r="AA458" s="157"/>
      <c r="AB458" s="157"/>
      <c r="AC458" s="151"/>
      <c r="AD458" s="151"/>
      <c r="AE458" s="151"/>
      <c r="AF458" s="157"/>
      <c r="AG458" s="157"/>
      <c r="AH458" s="157"/>
      <c r="AI458" s="157"/>
      <c r="AJ458" s="157"/>
      <c r="AK458" s="157"/>
      <c r="AL458" s="157"/>
      <c r="AM458" s="157"/>
      <c r="AN458" s="159"/>
      <c r="AO458" s="159"/>
      <c r="AP458" s="160"/>
      <c r="AQ458" s="160"/>
      <c r="AR458" s="160"/>
      <c r="AS458" s="159"/>
      <c r="AT458" s="159"/>
      <c r="AU458" s="161"/>
      <c r="AV458" s="157"/>
      <c r="AW458" s="157"/>
      <c r="AX458" s="157"/>
      <c r="AY458" s="157"/>
      <c r="AZ458" s="157"/>
      <c r="BA458" s="157"/>
      <c r="BB458" s="157"/>
      <c r="BC458" s="151"/>
      <c r="BD458" s="157"/>
      <c r="BE458" s="157"/>
      <c r="BF458" s="157"/>
      <c r="BG458" s="157"/>
      <c r="BH458" s="157"/>
      <c r="BI458" s="157"/>
      <c r="BJ458" s="353"/>
      <c r="BK458" s="353"/>
      <c r="BL458" s="353"/>
      <c r="BM458" s="14"/>
      <c r="BN458" s="14"/>
      <c r="BO458" s="14"/>
    </row>
    <row r="459" spans="1:67" ht="20.100000000000001" customHeight="1">
      <c r="A459" s="157"/>
      <c r="B459" s="1"/>
      <c r="C459" s="157"/>
      <c r="D459" s="1"/>
      <c r="E459" s="150"/>
      <c r="F459" s="150"/>
      <c r="G459" s="151"/>
      <c r="H459" s="150"/>
      <c r="I459" s="150"/>
      <c r="J459" s="151"/>
      <c r="K459" s="151"/>
      <c r="L459" s="150"/>
      <c r="M459" s="151"/>
      <c r="N459" s="151"/>
      <c r="O459" s="151"/>
      <c r="P459" s="150"/>
      <c r="Q459" s="150"/>
      <c r="R459" s="158"/>
      <c r="S459" s="158"/>
      <c r="T459" s="158"/>
      <c r="U459" s="158"/>
      <c r="V459" s="1"/>
      <c r="W459" s="1"/>
      <c r="X459" s="157"/>
      <c r="Y459" s="157"/>
      <c r="Z459" s="157"/>
      <c r="AA459" s="157"/>
      <c r="AB459" s="157"/>
      <c r="AC459" s="151"/>
      <c r="AD459" s="151"/>
      <c r="AE459" s="151"/>
      <c r="AF459" s="157"/>
      <c r="AG459" s="157"/>
      <c r="AH459" s="157"/>
      <c r="AI459" s="157"/>
      <c r="AJ459" s="157"/>
      <c r="AK459" s="157"/>
      <c r="AL459" s="157"/>
      <c r="AM459" s="157"/>
      <c r="AN459" s="159"/>
      <c r="AO459" s="159"/>
      <c r="AP459" s="160"/>
      <c r="AQ459" s="160"/>
      <c r="AR459" s="160"/>
      <c r="AS459" s="159"/>
      <c r="AT459" s="159"/>
      <c r="AU459" s="161"/>
      <c r="AV459" s="157"/>
      <c r="AW459" s="157"/>
      <c r="AX459" s="157"/>
      <c r="AY459" s="157"/>
      <c r="AZ459" s="157"/>
      <c r="BA459" s="157"/>
      <c r="BB459" s="157"/>
      <c r="BC459" s="151"/>
      <c r="BD459" s="157"/>
      <c r="BE459" s="157"/>
      <c r="BF459" s="157"/>
      <c r="BG459" s="157"/>
      <c r="BH459" s="157"/>
      <c r="BI459" s="157"/>
      <c r="BJ459" s="353"/>
      <c r="BK459" s="353"/>
      <c r="BL459" s="353"/>
      <c r="BM459" s="14"/>
      <c r="BN459" s="14"/>
      <c r="BO459" s="14"/>
    </row>
    <row r="460" spans="1:67" ht="20.100000000000001" customHeight="1">
      <c r="A460" s="157"/>
      <c r="B460" s="1"/>
      <c r="C460" s="157"/>
      <c r="D460" s="1"/>
      <c r="E460" s="150"/>
      <c r="F460" s="150"/>
      <c r="G460" s="151"/>
      <c r="H460" s="150"/>
      <c r="I460" s="150"/>
      <c r="J460" s="151"/>
      <c r="K460" s="151"/>
      <c r="L460" s="150"/>
      <c r="M460" s="151"/>
      <c r="N460" s="151"/>
      <c r="O460" s="151"/>
      <c r="P460" s="150"/>
      <c r="Q460" s="150"/>
      <c r="R460" s="158"/>
      <c r="S460" s="158"/>
      <c r="T460" s="158"/>
      <c r="U460" s="158"/>
      <c r="V460" s="1"/>
      <c r="W460" s="1"/>
      <c r="X460" s="157"/>
      <c r="Y460" s="157"/>
      <c r="Z460" s="157"/>
      <c r="AA460" s="157"/>
      <c r="AB460" s="157"/>
      <c r="AC460" s="151"/>
      <c r="AD460" s="151"/>
      <c r="AE460" s="151"/>
      <c r="AF460" s="157"/>
      <c r="AG460" s="157"/>
      <c r="AH460" s="157"/>
      <c r="AI460" s="157"/>
      <c r="AJ460" s="157"/>
      <c r="AK460" s="157"/>
      <c r="AL460" s="157"/>
      <c r="AM460" s="157"/>
      <c r="AN460" s="159"/>
      <c r="AO460" s="159"/>
      <c r="AP460" s="160"/>
      <c r="AQ460" s="160"/>
      <c r="AR460" s="160"/>
      <c r="AS460" s="159"/>
      <c r="AT460" s="159"/>
      <c r="AU460" s="161"/>
      <c r="AV460" s="157"/>
      <c r="AW460" s="157"/>
      <c r="AX460" s="157"/>
      <c r="AY460" s="157"/>
      <c r="AZ460" s="157"/>
      <c r="BA460" s="157"/>
      <c r="BB460" s="157"/>
      <c r="BC460" s="151"/>
      <c r="BD460" s="157"/>
      <c r="BE460" s="157"/>
      <c r="BF460" s="157"/>
      <c r="BG460" s="157"/>
      <c r="BH460" s="157"/>
      <c r="BI460" s="157"/>
      <c r="BJ460" s="353"/>
      <c r="BK460" s="353"/>
      <c r="BL460" s="353"/>
      <c r="BM460" s="14"/>
      <c r="BN460" s="14"/>
      <c r="BO460" s="14"/>
    </row>
    <row r="461" spans="1:67" ht="20.100000000000001" customHeight="1">
      <c r="A461" s="157"/>
      <c r="B461" s="1"/>
      <c r="C461" s="157"/>
      <c r="D461" s="1"/>
      <c r="E461" s="150"/>
      <c r="F461" s="150"/>
      <c r="G461" s="151"/>
      <c r="H461" s="150"/>
      <c r="I461" s="150"/>
      <c r="J461" s="151"/>
      <c r="K461" s="151"/>
      <c r="L461" s="150"/>
      <c r="M461" s="151"/>
      <c r="N461" s="151"/>
      <c r="O461" s="151"/>
      <c r="P461" s="150"/>
      <c r="Q461" s="150"/>
      <c r="R461" s="158"/>
      <c r="S461" s="158"/>
      <c r="T461" s="158"/>
      <c r="U461" s="158"/>
      <c r="V461" s="1"/>
      <c r="W461" s="1"/>
      <c r="X461" s="157"/>
      <c r="Y461" s="157"/>
      <c r="Z461" s="157"/>
      <c r="AA461" s="157"/>
      <c r="AB461" s="157"/>
      <c r="AC461" s="151"/>
      <c r="AD461" s="151"/>
      <c r="AE461" s="151"/>
      <c r="AF461" s="157"/>
      <c r="AG461" s="157"/>
      <c r="AH461" s="157"/>
      <c r="AI461" s="157"/>
      <c r="AJ461" s="157"/>
      <c r="AK461" s="157"/>
      <c r="AL461" s="157"/>
      <c r="AM461" s="157"/>
      <c r="AN461" s="159"/>
      <c r="AO461" s="159"/>
      <c r="AP461" s="160"/>
      <c r="AQ461" s="160"/>
      <c r="AR461" s="160"/>
      <c r="AS461" s="159"/>
      <c r="AT461" s="159"/>
      <c r="AU461" s="161"/>
      <c r="AV461" s="157"/>
      <c r="AW461" s="157"/>
      <c r="AX461" s="157"/>
      <c r="AY461" s="157"/>
      <c r="AZ461" s="157"/>
      <c r="BA461" s="157"/>
      <c r="BB461" s="157"/>
      <c r="BC461" s="151"/>
      <c r="BD461" s="157"/>
      <c r="BE461" s="157"/>
      <c r="BF461" s="157"/>
      <c r="BG461" s="157"/>
      <c r="BH461" s="157"/>
      <c r="BI461" s="157"/>
      <c r="BJ461" s="353"/>
      <c r="BK461" s="353"/>
      <c r="BL461" s="353"/>
      <c r="BM461" s="14"/>
      <c r="BN461" s="14"/>
      <c r="BO461" s="14"/>
    </row>
    <row r="462" spans="1:67" ht="20.100000000000001" customHeight="1">
      <c r="A462" s="157"/>
      <c r="B462" s="1"/>
      <c r="C462" s="157"/>
      <c r="D462" s="1"/>
      <c r="E462" s="150"/>
      <c r="F462" s="150"/>
      <c r="G462" s="151"/>
      <c r="H462" s="150"/>
      <c r="I462" s="150"/>
      <c r="J462" s="151"/>
      <c r="K462" s="151"/>
      <c r="L462" s="150"/>
      <c r="M462" s="151"/>
      <c r="N462" s="151"/>
      <c r="O462" s="151"/>
      <c r="P462" s="150"/>
      <c r="Q462" s="150"/>
      <c r="R462" s="158"/>
      <c r="S462" s="158"/>
      <c r="T462" s="158"/>
      <c r="U462" s="158"/>
      <c r="V462" s="1"/>
      <c r="W462" s="1"/>
      <c r="X462" s="157"/>
      <c r="Y462" s="157"/>
      <c r="Z462" s="157"/>
      <c r="AA462" s="157"/>
      <c r="AB462" s="157"/>
      <c r="AC462" s="151"/>
      <c r="AD462" s="151"/>
      <c r="AE462" s="151"/>
      <c r="AF462" s="157"/>
      <c r="AG462" s="157"/>
      <c r="AH462" s="157"/>
      <c r="AI462" s="157"/>
      <c r="AJ462" s="157"/>
      <c r="AK462" s="157"/>
      <c r="AL462" s="157"/>
      <c r="AM462" s="157"/>
      <c r="AN462" s="159"/>
      <c r="AO462" s="159"/>
      <c r="AP462" s="160"/>
      <c r="AQ462" s="160"/>
      <c r="AR462" s="160"/>
      <c r="AS462" s="159"/>
      <c r="AT462" s="159"/>
      <c r="AU462" s="161"/>
      <c r="AV462" s="157"/>
      <c r="AW462" s="157"/>
      <c r="AX462" s="157"/>
      <c r="AY462" s="157"/>
      <c r="AZ462" s="157"/>
      <c r="BA462" s="157"/>
      <c r="BB462" s="157"/>
      <c r="BC462" s="151"/>
      <c r="BD462" s="157"/>
      <c r="BE462" s="157"/>
      <c r="BF462" s="157"/>
      <c r="BG462" s="157"/>
      <c r="BH462" s="157"/>
      <c r="BI462" s="157"/>
      <c r="BJ462" s="353"/>
      <c r="BK462" s="353"/>
      <c r="BL462" s="353"/>
      <c r="BM462" s="14"/>
      <c r="BN462" s="14"/>
      <c r="BO462" s="14"/>
    </row>
    <row r="463" spans="1:67" ht="20.100000000000001" customHeight="1">
      <c r="A463" s="157"/>
      <c r="B463" s="1"/>
      <c r="C463" s="157"/>
      <c r="D463" s="1"/>
      <c r="E463" s="150"/>
      <c r="F463" s="150"/>
      <c r="G463" s="151"/>
      <c r="H463" s="150"/>
      <c r="I463" s="150"/>
      <c r="J463" s="151"/>
      <c r="K463" s="151"/>
      <c r="L463" s="150"/>
      <c r="M463" s="151"/>
      <c r="N463" s="151"/>
      <c r="O463" s="151"/>
      <c r="P463" s="150"/>
      <c r="Q463" s="150"/>
      <c r="R463" s="158"/>
      <c r="S463" s="158"/>
      <c r="T463" s="158"/>
      <c r="U463" s="158"/>
      <c r="V463" s="1"/>
      <c r="W463" s="1"/>
      <c r="X463" s="157"/>
      <c r="Y463" s="157"/>
      <c r="Z463" s="157"/>
      <c r="AA463" s="157"/>
      <c r="AB463" s="157"/>
      <c r="AC463" s="151"/>
      <c r="AD463" s="151"/>
      <c r="AE463" s="151"/>
      <c r="AF463" s="157"/>
      <c r="AG463" s="157"/>
      <c r="AH463" s="157"/>
      <c r="AI463" s="157"/>
      <c r="AJ463" s="157"/>
      <c r="AK463" s="157"/>
      <c r="AL463" s="157"/>
      <c r="AM463" s="157"/>
      <c r="AN463" s="159"/>
      <c r="AO463" s="159"/>
      <c r="AP463" s="160"/>
      <c r="AQ463" s="160"/>
      <c r="AR463" s="160"/>
      <c r="AS463" s="159"/>
      <c r="AT463" s="159"/>
      <c r="AU463" s="161"/>
      <c r="AV463" s="157"/>
      <c r="AW463" s="157"/>
      <c r="AX463" s="157"/>
      <c r="AY463" s="157"/>
      <c r="AZ463" s="157"/>
      <c r="BA463" s="157"/>
      <c r="BB463" s="157"/>
      <c r="BC463" s="151"/>
      <c r="BD463" s="157"/>
      <c r="BE463" s="157"/>
      <c r="BF463" s="157"/>
      <c r="BG463" s="157"/>
      <c r="BH463" s="157"/>
      <c r="BI463" s="157"/>
      <c r="BJ463" s="353"/>
      <c r="BK463" s="353"/>
      <c r="BL463" s="353"/>
      <c r="BM463" s="14"/>
      <c r="BN463" s="14"/>
      <c r="BO463" s="14"/>
    </row>
    <row r="464" spans="1:67" ht="20.100000000000001" customHeight="1">
      <c r="A464" s="157"/>
      <c r="B464" s="1"/>
      <c r="C464" s="157"/>
      <c r="D464" s="1"/>
      <c r="E464" s="150"/>
      <c r="F464" s="150"/>
      <c r="G464" s="151"/>
      <c r="H464" s="150"/>
      <c r="I464" s="150"/>
      <c r="J464" s="151"/>
      <c r="K464" s="151"/>
      <c r="L464" s="150"/>
      <c r="M464" s="151"/>
      <c r="N464" s="151"/>
      <c r="O464" s="151"/>
      <c r="P464" s="150"/>
      <c r="Q464" s="150"/>
      <c r="R464" s="158"/>
      <c r="S464" s="158"/>
      <c r="T464" s="158"/>
      <c r="U464" s="158"/>
      <c r="V464" s="1"/>
      <c r="W464" s="1"/>
      <c r="X464" s="157"/>
      <c r="Y464" s="157"/>
      <c r="Z464" s="157"/>
      <c r="AA464" s="157"/>
      <c r="AB464" s="157"/>
      <c r="AC464" s="151"/>
      <c r="AD464" s="151"/>
      <c r="AE464" s="151"/>
      <c r="AF464" s="157"/>
      <c r="AG464" s="157"/>
      <c r="AH464" s="157"/>
      <c r="AI464" s="157"/>
      <c r="AJ464" s="157"/>
      <c r="AK464" s="157"/>
      <c r="AL464" s="157"/>
      <c r="AM464" s="157"/>
      <c r="AN464" s="159"/>
      <c r="AO464" s="159"/>
      <c r="AP464" s="160"/>
      <c r="AQ464" s="160"/>
      <c r="AR464" s="160"/>
      <c r="AS464" s="159"/>
      <c r="AT464" s="159"/>
      <c r="AU464" s="161"/>
      <c r="AV464" s="157"/>
      <c r="AW464" s="157"/>
      <c r="AX464" s="157"/>
      <c r="AY464" s="157"/>
      <c r="AZ464" s="157"/>
      <c r="BA464" s="157"/>
      <c r="BB464" s="157"/>
      <c r="BC464" s="151"/>
      <c r="BD464" s="157"/>
      <c r="BE464" s="157"/>
      <c r="BF464" s="157"/>
      <c r="BG464" s="157"/>
      <c r="BH464" s="157"/>
      <c r="BI464" s="157"/>
      <c r="BJ464" s="353"/>
      <c r="BK464" s="353"/>
      <c r="BL464" s="353"/>
      <c r="BM464" s="14"/>
      <c r="BN464" s="14"/>
      <c r="BO464" s="14"/>
    </row>
    <row r="465" spans="1:67" ht="20.100000000000001" customHeight="1">
      <c r="A465" s="157"/>
      <c r="B465" s="1"/>
      <c r="C465" s="157"/>
      <c r="D465" s="1"/>
      <c r="E465" s="150"/>
      <c r="F465" s="150"/>
      <c r="G465" s="151"/>
      <c r="H465" s="150"/>
      <c r="I465" s="150"/>
      <c r="J465" s="151"/>
      <c r="K465" s="151"/>
      <c r="L465" s="150"/>
      <c r="M465" s="151"/>
      <c r="N465" s="151"/>
      <c r="O465" s="151"/>
      <c r="P465" s="150"/>
      <c r="Q465" s="150"/>
      <c r="R465" s="158"/>
      <c r="S465" s="158"/>
      <c r="T465" s="158"/>
      <c r="U465" s="158"/>
      <c r="V465" s="1"/>
      <c r="W465" s="1"/>
      <c r="X465" s="157"/>
      <c r="Y465" s="157"/>
      <c r="Z465" s="157"/>
      <c r="AA465" s="157"/>
      <c r="AB465" s="157"/>
      <c r="AC465" s="151"/>
      <c r="AD465" s="151"/>
      <c r="AE465" s="151"/>
      <c r="AF465" s="157"/>
      <c r="AG465" s="157"/>
      <c r="AH465" s="157"/>
      <c r="AI465" s="157"/>
      <c r="AJ465" s="157"/>
      <c r="AK465" s="157"/>
      <c r="AL465" s="157"/>
      <c r="AM465" s="157"/>
      <c r="AN465" s="159"/>
      <c r="AO465" s="159"/>
      <c r="AP465" s="160"/>
      <c r="AQ465" s="160"/>
      <c r="AR465" s="160"/>
      <c r="AS465" s="159"/>
      <c r="AT465" s="159"/>
      <c r="AU465" s="161"/>
      <c r="AV465" s="157"/>
      <c r="AW465" s="157"/>
      <c r="AX465" s="157"/>
      <c r="AY465" s="157"/>
      <c r="AZ465" s="157"/>
      <c r="BA465" s="157"/>
      <c r="BB465" s="157"/>
      <c r="BC465" s="151"/>
      <c r="BD465" s="157"/>
      <c r="BE465" s="157"/>
      <c r="BF465" s="157"/>
      <c r="BG465" s="157"/>
      <c r="BH465" s="157"/>
      <c r="BI465" s="157"/>
      <c r="BJ465" s="353"/>
      <c r="BK465" s="353"/>
      <c r="BL465" s="353"/>
      <c r="BM465" s="14"/>
      <c r="BN465" s="14"/>
      <c r="BO465" s="14"/>
    </row>
    <row r="466" spans="1:67" ht="20.100000000000001" customHeight="1">
      <c r="A466" s="157"/>
      <c r="B466" s="1"/>
      <c r="C466" s="157"/>
      <c r="D466" s="1"/>
      <c r="E466" s="150"/>
      <c r="F466" s="150"/>
      <c r="G466" s="151"/>
      <c r="H466" s="150"/>
      <c r="I466" s="150"/>
      <c r="J466" s="151"/>
      <c r="K466" s="151"/>
      <c r="L466" s="150"/>
      <c r="M466" s="151"/>
      <c r="N466" s="151"/>
      <c r="O466" s="151"/>
      <c r="P466" s="150"/>
      <c r="Q466" s="150"/>
      <c r="R466" s="158"/>
      <c r="S466" s="158"/>
      <c r="T466" s="158"/>
      <c r="U466" s="158"/>
      <c r="V466" s="1"/>
      <c r="W466" s="1"/>
      <c r="X466" s="157"/>
      <c r="Y466" s="157"/>
      <c r="Z466" s="157"/>
      <c r="AA466" s="157"/>
      <c r="AB466" s="157"/>
      <c r="AC466" s="151"/>
      <c r="AD466" s="151"/>
      <c r="AE466" s="151"/>
      <c r="AF466" s="157"/>
      <c r="AG466" s="157"/>
      <c r="AH466" s="157"/>
      <c r="AI466" s="157"/>
      <c r="AJ466" s="157"/>
      <c r="AK466" s="157"/>
      <c r="AL466" s="157"/>
      <c r="AM466" s="157"/>
      <c r="AN466" s="159"/>
      <c r="AO466" s="159"/>
      <c r="AP466" s="160"/>
      <c r="AQ466" s="160"/>
      <c r="AR466" s="160"/>
      <c r="AS466" s="159"/>
      <c r="AT466" s="159"/>
      <c r="AU466" s="161"/>
      <c r="AV466" s="157"/>
      <c r="AW466" s="157"/>
      <c r="AX466" s="157"/>
      <c r="AY466" s="157"/>
      <c r="AZ466" s="157"/>
      <c r="BA466" s="157"/>
      <c r="BB466" s="157"/>
      <c r="BC466" s="151"/>
      <c r="BD466" s="157"/>
      <c r="BE466" s="157"/>
      <c r="BF466" s="157"/>
      <c r="BG466" s="157"/>
      <c r="BH466" s="157"/>
      <c r="BI466" s="157"/>
      <c r="BJ466" s="353"/>
      <c r="BK466" s="353"/>
      <c r="BL466" s="353"/>
      <c r="BM466" s="14"/>
      <c r="BN466" s="14"/>
      <c r="BO466" s="14"/>
    </row>
    <row r="467" spans="1:67" ht="20.100000000000001" customHeight="1">
      <c r="A467" s="157"/>
      <c r="B467" s="1"/>
      <c r="C467" s="157"/>
      <c r="D467" s="1"/>
      <c r="E467" s="150"/>
      <c r="F467" s="150"/>
      <c r="G467" s="151"/>
      <c r="H467" s="150"/>
      <c r="I467" s="150"/>
      <c r="J467" s="151"/>
      <c r="K467" s="151"/>
      <c r="L467" s="150"/>
      <c r="M467" s="151"/>
      <c r="N467" s="151"/>
      <c r="O467" s="151"/>
      <c r="P467" s="150"/>
      <c r="Q467" s="150"/>
      <c r="R467" s="158"/>
      <c r="S467" s="158"/>
      <c r="T467" s="158"/>
      <c r="U467" s="158"/>
      <c r="V467" s="1"/>
      <c r="W467" s="1"/>
      <c r="X467" s="157"/>
      <c r="Y467" s="157"/>
      <c r="Z467" s="157"/>
      <c r="AA467" s="157"/>
      <c r="AB467" s="157"/>
      <c r="AC467" s="151"/>
      <c r="AD467" s="151"/>
      <c r="AE467" s="151"/>
      <c r="AF467" s="157"/>
      <c r="AG467" s="157"/>
      <c r="AH467" s="157"/>
      <c r="AI467" s="157"/>
      <c r="AJ467" s="157"/>
      <c r="AK467" s="157"/>
      <c r="AL467" s="157"/>
      <c r="AM467" s="157"/>
      <c r="AN467" s="159"/>
      <c r="AO467" s="159"/>
      <c r="AP467" s="160"/>
      <c r="AQ467" s="160"/>
      <c r="AR467" s="160"/>
      <c r="AS467" s="159"/>
      <c r="AT467" s="159"/>
      <c r="AU467" s="161"/>
      <c r="AV467" s="157"/>
      <c r="AW467" s="157"/>
      <c r="AX467" s="157"/>
      <c r="AY467" s="157"/>
      <c r="AZ467" s="157"/>
      <c r="BA467" s="157"/>
      <c r="BB467" s="157"/>
      <c r="BC467" s="151"/>
      <c r="BD467" s="157"/>
      <c r="BE467" s="157"/>
      <c r="BF467" s="157"/>
      <c r="BG467" s="157"/>
      <c r="BH467" s="157"/>
      <c r="BI467" s="157"/>
      <c r="BJ467" s="353"/>
      <c r="BK467" s="353"/>
      <c r="BL467" s="353"/>
      <c r="BM467" s="14"/>
      <c r="BN467" s="14"/>
      <c r="BO467" s="14"/>
    </row>
    <row r="468" spans="1:67" ht="20.100000000000001" customHeight="1">
      <c r="A468" s="157"/>
      <c r="B468" s="1"/>
      <c r="C468" s="157"/>
      <c r="D468" s="1"/>
      <c r="E468" s="150"/>
      <c r="F468" s="150"/>
      <c r="G468" s="151"/>
      <c r="H468" s="150"/>
      <c r="I468" s="150"/>
      <c r="J468" s="151"/>
      <c r="K468" s="151"/>
      <c r="L468" s="150"/>
      <c r="M468" s="151"/>
      <c r="N468" s="151"/>
      <c r="O468" s="151"/>
      <c r="P468" s="150"/>
      <c r="Q468" s="150"/>
      <c r="R468" s="158"/>
      <c r="S468" s="158"/>
      <c r="T468" s="158"/>
      <c r="U468" s="158"/>
      <c r="V468" s="1"/>
      <c r="W468" s="1"/>
      <c r="X468" s="157"/>
      <c r="Y468" s="157"/>
      <c r="Z468" s="157"/>
      <c r="AA468" s="157"/>
      <c r="AB468" s="157"/>
      <c r="AC468" s="151"/>
      <c r="AD468" s="151"/>
      <c r="AE468" s="151"/>
      <c r="AF468" s="157"/>
      <c r="AG468" s="157"/>
      <c r="AH468" s="157"/>
      <c r="AI468" s="157"/>
      <c r="AJ468" s="157"/>
      <c r="AK468" s="157"/>
      <c r="AL468" s="157"/>
      <c r="AM468" s="157"/>
      <c r="AN468" s="159"/>
      <c r="AO468" s="159"/>
      <c r="AP468" s="160"/>
      <c r="AQ468" s="160"/>
      <c r="AR468" s="160"/>
      <c r="AS468" s="159"/>
      <c r="AT468" s="159"/>
      <c r="AU468" s="161"/>
      <c r="AV468" s="157"/>
      <c r="AW468" s="157"/>
      <c r="AX468" s="157"/>
      <c r="AY468" s="157"/>
      <c r="AZ468" s="157"/>
      <c r="BA468" s="157"/>
      <c r="BB468" s="157"/>
      <c r="BC468" s="151"/>
      <c r="BD468" s="157"/>
      <c r="BE468" s="157"/>
      <c r="BF468" s="157"/>
      <c r="BG468" s="157"/>
      <c r="BH468" s="157"/>
      <c r="BI468" s="157"/>
      <c r="BJ468" s="353"/>
      <c r="BK468" s="353"/>
      <c r="BL468" s="353"/>
      <c r="BM468" s="14"/>
      <c r="BN468" s="14"/>
      <c r="BO468" s="14"/>
    </row>
    <row r="469" spans="1:67" ht="20.100000000000001" customHeight="1">
      <c r="A469" s="157"/>
      <c r="B469" s="1"/>
      <c r="C469" s="157"/>
      <c r="D469" s="1"/>
      <c r="E469" s="150"/>
      <c r="F469" s="150"/>
      <c r="G469" s="151"/>
      <c r="H469" s="150"/>
      <c r="I469" s="150"/>
      <c r="J469" s="151"/>
      <c r="K469" s="151"/>
      <c r="L469" s="150"/>
      <c r="M469" s="151"/>
      <c r="N469" s="151"/>
      <c r="O469" s="151"/>
      <c r="P469" s="150"/>
      <c r="Q469" s="150"/>
      <c r="R469" s="158"/>
      <c r="S469" s="158"/>
      <c r="T469" s="158"/>
      <c r="U469" s="158"/>
      <c r="V469" s="1"/>
      <c r="W469" s="1"/>
      <c r="X469" s="157"/>
      <c r="Y469" s="157"/>
      <c r="Z469" s="157"/>
      <c r="AA469" s="157"/>
      <c r="AB469" s="157"/>
      <c r="AC469" s="151"/>
      <c r="AD469" s="151"/>
      <c r="AE469" s="151"/>
      <c r="AF469" s="157"/>
      <c r="AG469" s="157"/>
      <c r="AH469" s="157"/>
      <c r="AI469" s="157"/>
      <c r="AJ469" s="157"/>
      <c r="AK469" s="157"/>
      <c r="AL469" s="157"/>
      <c r="AM469" s="157"/>
      <c r="AN469" s="159"/>
      <c r="AO469" s="159"/>
      <c r="AP469" s="160"/>
      <c r="AQ469" s="160"/>
      <c r="AR469" s="160"/>
      <c r="AS469" s="159"/>
      <c r="AT469" s="159"/>
      <c r="AU469" s="161"/>
      <c r="AV469" s="157"/>
      <c r="AW469" s="157"/>
      <c r="AX469" s="157"/>
      <c r="AY469" s="157"/>
      <c r="AZ469" s="157"/>
      <c r="BA469" s="157"/>
      <c r="BB469" s="157"/>
      <c r="BC469" s="151"/>
      <c r="BD469" s="157"/>
      <c r="BE469" s="157"/>
      <c r="BF469" s="157"/>
      <c r="BG469" s="157"/>
      <c r="BH469" s="157"/>
      <c r="BI469" s="157"/>
      <c r="BJ469" s="353"/>
      <c r="BK469" s="353"/>
      <c r="BL469" s="353"/>
      <c r="BM469" s="14"/>
      <c r="BN469" s="14"/>
      <c r="BO469" s="14"/>
    </row>
    <row r="470" spans="1:67" ht="20.100000000000001" customHeight="1">
      <c r="A470" s="157"/>
      <c r="B470" s="1"/>
      <c r="C470" s="157"/>
      <c r="D470" s="1"/>
      <c r="E470" s="150"/>
      <c r="F470" s="150"/>
      <c r="G470" s="151"/>
      <c r="H470" s="150"/>
      <c r="I470" s="150"/>
      <c r="J470" s="151"/>
      <c r="K470" s="151"/>
      <c r="L470" s="150"/>
      <c r="M470" s="151"/>
      <c r="N470" s="151"/>
      <c r="O470" s="151"/>
      <c r="P470" s="150"/>
      <c r="Q470" s="150"/>
      <c r="R470" s="158"/>
      <c r="S470" s="158"/>
      <c r="T470" s="158"/>
      <c r="U470" s="158"/>
      <c r="V470" s="1"/>
      <c r="W470" s="1"/>
      <c r="X470" s="157"/>
      <c r="Y470" s="157"/>
      <c r="Z470" s="157"/>
      <c r="AA470" s="157"/>
      <c r="AB470" s="157"/>
      <c r="AC470" s="151"/>
      <c r="AD470" s="151"/>
      <c r="AE470" s="151"/>
      <c r="AF470" s="157"/>
      <c r="AG470" s="157"/>
      <c r="AH470" s="157"/>
      <c r="AI470" s="157"/>
      <c r="AJ470" s="157"/>
      <c r="AK470" s="157"/>
      <c r="AL470" s="157"/>
      <c r="AM470" s="157"/>
      <c r="AN470" s="159"/>
      <c r="AO470" s="159"/>
      <c r="AP470" s="160"/>
      <c r="AQ470" s="160"/>
      <c r="AR470" s="160"/>
      <c r="AS470" s="159"/>
      <c r="AT470" s="159"/>
      <c r="AU470" s="161"/>
      <c r="AV470" s="157"/>
      <c r="AW470" s="157"/>
      <c r="AX470" s="157"/>
      <c r="AY470" s="157"/>
      <c r="AZ470" s="157"/>
      <c r="BA470" s="157"/>
      <c r="BB470" s="157"/>
      <c r="BC470" s="151"/>
      <c r="BD470" s="157"/>
      <c r="BE470" s="157"/>
      <c r="BF470" s="157"/>
      <c r="BG470" s="157"/>
      <c r="BH470" s="157"/>
      <c r="BI470" s="157"/>
      <c r="BJ470" s="353"/>
      <c r="BK470" s="353"/>
      <c r="BL470" s="353"/>
      <c r="BM470" s="14"/>
      <c r="BN470" s="14"/>
      <c r="BO470" s="14"/>
    </row>
    <row r="471" spans="1:67" ht="20.100000000000001" customHeight="1">
      <c r="A471" s="157"/>
      <c r="B471" s="1"/>
      <c r="C471" s="157"/>
      <c r="D471" s="1"/>
      <c r="E471" s="150"/>
      <c r="F471" s="150"/>
      <c r="G471" s="151"/>
      <c r="H471" s="150"/>
      <c r="I471" s="150"/>
      <c r="J471" s="151"/>
      <c r="K471" s="151"/>
      <c r="L471" s="150"/>
      <c r="M471" s="151"/>
      <c r="N471" s="151"/>
      <c r="O471" s="151"/>
      <c r="P471" s="150"/>
      <c r="Q471" s="150"/>
      <c r="R471" s="158"/>
      <c r="S471" s="158"/>
      <c r="T471" s="158"/>
      <c r="U471" s="158"/>
      <c r="V471" s="1"/>
      <c r="W471" s="1"/>
      <c r="X471" s="157"/>
      <c r="Y471" s="157"/>
      <c r="Z471" s="157"/>
      <c r="AA471" s="157"/>
      <c r="AB471" s="157"/>
      <c r="AC471" s="151"/>
      <c r="AD471" s="151"/>
      <c r="AE471" s="151"/>
      <c r="AF471" s="157"/>
      <c r="AG471" s="157"/>
      <c r="AH471" s="157"/>
      <c r="AI471" s="157"/>
      <c r="AJ471" s="157"/>
      <c r="AK471" s="157"/>
      <c r="AL471" s="157"/>
      <c r="AM471" s="157"/>
      <c r="AN471" s="159"/>
      <c r="AO471" s="159"/>
      <c r="AP471" s="160"/>
      <c r="AQ471" s="160"/>
      <c r="AR471" s="160"/>
      <c r="AS471" s="159"/>
      <c r="AT471" s="159"/>
      <c r="AU471" s="161"/>
      <c r="AV471" s="157"/>
      <c r="AW471" s="157"/>
      <c r="AX471" s="157"/>
      <c r="AY471" s="157"/>
      <c r="AZ471" s="157"/>
      <c r="BA471" s="157"/>
      <c r="BB471" s="157"/>
      <c r="BC471" s="151"/>
      <c r="BD471" s="157"/>
      <c r="BE471" s="157"/>
      <c r="BF471" s="157"/>
      <c r="BG471" s="157"/>
      <c r="BH471" s="157"/>
      <c r="BI471" s="157"/>
      <c r="BJ471" s="353"/>
      <c r="BK471" s="353"/>
      <c r="BL471" s="353"/>
      <c r="BM471" s="14"/>
      <c r="BN471" s="14"/>
      <c r="BO471" s="14"/>
    </row>
    <row r="472" spans="1:67" ht="20.100000000000001" customHeight="1">
      <c r="A472" s="157"/>
      <c r="B472" s="1"/>
      <c r="C472" s="157"/>
      <c r="D472" s="1"/>
      <c r="E472" s="150"/>
      <c r="F472" s="150"/>
      <c r="G472" s="151"/>
      <c r="H472" s="150"/>
      <c r="I472" s="150"/>
      <c r="J472" s="151"/>
      <c r="K472" s="151"/>
      <c r="L472" s="150"/>
      <c r="M472" s="151"/>
      <c r="N472" s="151"/>
      <c r="O472" s="151"/>
      <c r="P472" s="150"/>
      <c r="Q472" s="150"/>
      <c r="R472" s="158"/>
      <c r="S472" s="158"/>
      <c r="T472" s="158"/>
      <c r="U472" s="158"/>
      <c r="V472" s="1"/>
      <c r="W472" s="1"/>
      <c r="X472" s="157"/>
      <c r="Y472" s="157"/>
      <c r="Z472" s="157"/>
      <c r="AA472" s="157"/>
      <c r="AB472" s="157"/>
      <c r="AC472" s="151"/>
      <c r="AD472" s="151"/>
      <c r="AE472" s="151"/>
      <c r="AF472" s="157"/>
      <c r="AG472" s="157"/>
      <c r="AH472" s="157"/>
      <c r="AI472" s="157"/>
      <c r="AJ472" s="157"/>
      <c r="AK472" s="157"/>
      <c r="AL472" s="157"/>
      <c r="AM472" s="157"/>
      <c r="AN472" s="159"/>
      <c r="AO472" s="159"/>
      <c r="AP472" s="160"/>
      <c r="AQ472" s="160"/>
      <c r="AR472" s="160"/>
      <c r="AS472" s="159"/>
      <c r="AT472" s="159"/>
      <c r="AU472" s="161"/>
      <c r="AV472" s="157"/>
      <c r="AW472" s="157"/>
      <c r="AX472" s="157"/>
      <c r="AY472" s="157"/>
      <c r="AZ472" s="157"/>
      <c r="BA472" s="157"/>
      <c r="BB472" s="157"/>
      <c r="BC472" s="151"/>
      <c r="BD472" s="157"/>
      <c r="BE472" s="157"/>
      <c r="BF472" s="157"/>
      <c r="BG472" s="157"/>
      <c r="BH472" s="157"/>
      <c r="BI472" s="157"/>
      <c r="BJ472" s="353"/>
      <c r="BK472" s="353"/>
      <c r="BL472" s="353"/>
      <c r="BM472" s="14"/>
      <c r="BN472" s="14"/>
      <c r="BO472" s="14"/>
    </row>
    <row r="473" spans="1:67" ht="20.100000000000001" customHeight="1">
      <c r="A473" s="157"/>
      <c r="B473" s="1"/>
      <c r="C473" s="157"/>
      <c r="D473" s="1"/>
      <c r="E473" s="150"/>
      <c r="F473" s="150"/>
      <c r="G473" s="151"/>
      <c r="H473" s="150"/>
      <c r="I473" s="150"/>
      <c r="J473" s="151"/>
      <c r="K473" s="151"/>
      <c r="L473" s="150"/>
      <c r="M473" s="151"/>
      <c r="N473" s="151"/>
      <c r="O473" s="151"/>
      <c r="P473" s="150"/>
      <c r="Q473" s="150"/>
      <c r="R473" s="158"/>
      <c r="S473" s="158"/>
      <c r="T473" s="158"/>
      <c r="U473" s="158"/>
      <c r="V473" s="1"/>
      <c r="W473" s="1"/>
      <c r="X473" s="157"/>
      <c r="Y473" s="157"/>
      <c r="Z473" s="157"/>
      <c r="AA473" s="157"/>
      <c r="AB473" s="157"/>
      <c r="AC473" s="151"/>
      <c r="AD473" s="151"/>
      <c r="AE473" s="151"/>
      <c r="AF473" s="157"/>
      <c r="AG473" s="157"/>
      <c r="AH473" s="157"/>
      <c r="AI473" s="157"/>
      <c r="AJ473" s="157"/>
      <c r="AK473" s="157"/>
      <c r="AL473" s="157"/>
      <c r="AM473" s="157"/>
      <c r="AN473" s="159"/>
      <c r="AO473" s="159"/>
      <c r="AP473" s="160"/>
      <c r="AQ473" s="160"/>
      <c r="AR473" s="160"/>
      <c r="AS473" s="159"/>
      <c r="AT473" s="159"/>
      <c r="AU473" s="161"/>
      <c r="AV473" s="157"/>
      <c r="AW473" s="157"/>
      <c r="AX473" s="157"/>
      <c r="AY473" s="157"/>
      <c r="AZ473" s="157"/>
      <c r="BA473" s="157"/>
      <c r="BB473" s="157"/>
      <c r="BC473" s="151"/>
      <c r="BD473" s="157"/>
      <c r="BE473" s="157"/>
      <c r="BF473" s="157"/>
      <c r="BG473" s="157"/>
      <c r="BH473" s="157"/>
      <c r="BI473" s="157"/>
      <c r="BJ473" s="353"/>
      <c r="BK473" s="353"/>
      <c r="BL473" s="353"/>
      <c r="BM473" s="14"/>
      <c r="BN473" s="14"/>
      <c r="BO473" s="14"/>
    </row>
    <row r="474" spans="1:67" ht="20.100000000000001" customHeight="1">
      <c r="A474" s="157"/>
      <c r="B474" s="1"/>
      <c r="C474" s="157"/>
      <c r="D474" s="1"/>
      <c r="E474" s="150"/>
      <c r="F474" s="150"/>
      <c r="G474" s="151"/>
      <c r="H474" s="150"/>
      <c r="I474" s="150"/>
      <c r="J474" s="151"/>
      <c r="K474" s="151"/>
      <c r="L474" s="150"/>
      <c r="M474" s="151"/>
      <c r="N474" s="151"/>
      <c r="O474" s="151"/>
      <c r="P474" s="150"/>
      <c r="Q474" s="150"/>
      <c r="R474" s="158"/>
      <c r="S474" s="158"/>
      <c r="T474" s="158"/>
      <c r="U474" s="158"/>
      <c r="V474" s="1"/>
      <c r="W474" s="1"/>
      <c r="X474" s="157"/>
      <c r="Y474" s="157"/>
      <c r="Z474" s="157"/>
      <c r="AA474" s="157"/>
      <c r="AB474" s="157"/>
      <c r="AC474" s="151"/>
      <c r="AD474" s="151"/>
      <c r="AE474" s="151"/>
      <c r="AF474" s="157"/>
      <c r="AG474" s="157"/>
      <c r="AH474" s="157"/>
      <c r="AI474" s="157"/>
      <c r="AJ474" s="157"/>
      <c r="AK474" s="157"/>
      <c r="AL474" s="157"/>
      <c r="AM474" s="157"/>
      <c r="AN474" s="159"/>
      <c r="AO474" s="159"/>
      <c r="AP474" s="160"/>
      <c r="AQ474" s="160"/>
      <c r="AR474" s="160"/>
      <c r="AS474" s="159"/>
      <c r="AT474" s="159"/>
      <c r="AU474" s="161"/>
      <c r="AV474" s="157"/>
      <c r="AW474" s="157"/>
      <c r="AX474" s="157"/>
      <c r="AY474" s="157"/>
      <c r="AZ474" s="157"/>
      <c r="BA474" s="157"/>
      <c r="BB474" s="157"/>
      <c r="BC474" s="151"/>
      <c r="BD474" s="157"/>
      <c r="BE474" s="157"/>
      <c r="BF474" s="157"/>
      <c r="BG474" s="157"/>
      <c r="BH474" s="157"/>
      <c r="BI474" s="157"/>
      <c r="BJ474" s="353"/>
      <c r="BK474" s="353"/>
      <c r="BL474" s="353"/>
      <c r="BM474" s="14"/>
      <c r="BN474" s="14"/>
      <c r="BO474" s="14"/>
    </row>
    <row r="475" spans="1:67" ht="20.100000000000001" customHeight="1">
      <c r="A475" s="157"/>
      <c r="B475" s="1"/>
      <c r="C475" s="157"/>
      <c r="D475" s="1"/>
      <c r="E475" s="150"/>
      <c r="F475" s="150"/>
      <c r="G475" s="151"/>
      <c r="H475" s="150"/>
      <c r="I475" s="150"/>
      <c r="J475" s="151"/>
      <c r="K475" s="151"/>
      <c r="L475" s="150"/>
      <c r="M475" s="151"/>
      <c r="N475" s="151"/>
      <c r="O475" s="151"/>
      <c r="P475" s="150"/>
      <c r="Q475" s="150"/>
      <c r="R475" s="158"/>
      <c r="S475" s="158"/>
      <c r="T475" s="158"/>
      <c r="U475" s="158"/>
      <c r="V475" s="1"/>
      <c r="W475" s="1"/>
      <c r="X475" s="157"/>
      <c r="Y475" s="157"/>
      <c r="Z475" s="157"/>
      <c r="AA475" s="157"/>
      <c r="AB475" s="157"/>
      <c r="AC475" s="151"/>
      <c r="AD475" s="151"/>
      <c r="AE475" s="151"/>
      <c r="AF475" s="157"/>
      <c r="AG475" s="157"/>
      <c r="AH475" s="157"/>
      <c r="AI475" s="157"/>
      <c r="AJ475" s="157"/>
      <c r="AK475" s="157"/>
      <c r="AL475" s="157"/>
      <c r="AM475" s="157"/>
      <c r="AN475" s="159"/>
      <c r="AO475" s="159"/>
      <c r="AP475" s="160"/>
      <c r="AQ475" s="160"/>
      <c r="AR475" s="160"/>
      <c r="AS475" s="159"/>
      <c r="AT475" s="159"/>
      <c r="AU475" s="161"/>
      <c r="AV475" s="157"/>
      <c r="AW475" s="157"/>
      <c r="AX475" s="157"/>
      <c r="AY475" s="157"/>
      <c r="AZ475" s="157"/>
      <c r="BA475" s="157"/>
      <c r="BB475" s="157"/>
      <c r="BC475" s="151"/>
      <c r="BD475" s="157"/>
      <c r="BE475" s="157"/>
      <c r="BF475" s="157"/>
      <c r="BG475" s="157"/>
      <c r="BH475" s="157"/>
      <c r="BI475" s="157"/>
      <c r="BJ475" s="353"/>
      <c r="BK475" s="353"/>
      <c r="BL475" s="353"/>
      <c r="BM475" s="14"/>
      <c r="BN475" s="14"/>
      <c r="BO475" s="14"/>
    </row>
    <row r="476" spans="1:67" ht="20.100000000000001" customHeight="1">
      <c r="A476" s="157"/>
      <c r="B476" s="1"/>
      <c r="C476" s="157"/>
      <c r="D476" s="1"/>
      <c r="E476" s="150"/>
      <c r="F476" s="150"/>
      <c r="G476" s="151"/>
      <c r="H476" s="150"/>
      <c r="I476" s="150"/>
      <c r="J476" s="151"/>
      <c r="K476" s="151"/>
      <c r="L476" s="150"/>
      <c r="M476" s="151"/>
      <c r="N476" s="151"/>
      <c r="O476" s="151"/>
      <c r="P476" s="150"/>
      <c r="Q476" s="150"/>
      <c r="R476" s="158"/>
      <c r="S476" s="158"/>
      <c r="T476" s="158"/>
      <c r="U476" s="158"/>
      <c r="V476" s="1"/>
      <c r="W476" s="1"/>
      <c r="X476" s="157"/>
      <c r="Y476" s="157"/>
      <c r="Z476" s="157"/>
      <c r="AA476" s="157"/>
      <c r="AB476" s="157"/>
      <c r="AC476" s="151"/>
      <c r="AD476" s="151"/>
      <c r="AE476" s="151"/>
      <c r="AF476" s="157"/>
      <c r="AG476" s="157"/>
      <c r="AH476" s="157"/>
      <c r="AI476" s="157"/>
      <c r="AJ476" s="157"/>
      <c r="AK476" s="157"/>
      <c r="AL476" s="157"/>
      <c r="AM476" s="157"/>
      <c r="AN476" s="159"/>
      <c r="AO476" s="159"/>
      <c r="AP476" s="160"/>
      <c r="AQ476" s="160"/>
      <c r="AR476" s="160"/>
      <c r="AS476" s="159"/>
      <c r="AT476" s="159"/>
      <c r="AU476" s="161"/>
      <c r="AV476" s="157"/>
      <c r="AW476" s="157"/>
      <c r="AX476" s="157"/>
      <c r="AY476" s="157"/>
      <c r="AZ476" s="157"/>
      <c r="BA476" s="157"/>
      <c r="BB476" s="157"/>
      <c r="BC476" s="151"/>
      <c r="BD476" s="157"/>
      <c r="BE476" s="157"/>
      <c r="BF476" s="157"/>
      <c r="BG476" s="157"/>
      <c r="BH476" s="157"/>
      <c r="BI476" s="157"/>
      <c r="BJ476" s="353"/>
      <c r="BK476" s="353"/>
      <c r="BL476" s="353"/>
      <c r="BM476" s="14"/>
      <c r="BN476" s="14"/>
      <c r="BO476" s="14"/>
    </row>
    <row r="477" spans="1:67" ht="20.100000000000001" customHeight="1">
      <c r="A477" s="157"/>
      <c r="B477" s="1"/>
      <c r="C477" s="157"/>
      <c r="D477" s="1"/>
      <c r="E477" s="150"/>
      <c r="F477" s="150"/>
      <c r="G477" s="151"/>
      <c r="H477" s="150"/>
      <c r="I477" s="150"/>
      <c r="J477" s="151"/>
      <c r="K477" s="151"/>
      <c r="L477" s="150"/>
      <c r="M477" s="151"/>
      <c r="N477" s="151"/>
      <c r="O477" s="151"/>
      <c r="P477" s="150"/>
      <c r="Q477" s="150"/>
      <c r="R477" s="158"/>
      <c r="S477" s="158"/>
      <c r="T477" s="158"/>
      <c r="U477" s="158"/>
      <c r="V477" s="1"/>
      <c r="W477" s="1"/>
      <c r="X477" s="157"/>
      <c r="Y477" s="157"/>
      <c r="Z477" s="157"/>
      <c r="AA477" s="157"/>
      <c r="AB477" s="157"/>
      <c r="AC477" s="151"/>
      <c r="AD477" s="151"/>
      <c r="AE477" s="151"/>
      <c r="AF477" s="157"/>
      <c r="AG477" s="157"/>
      <c r="AH477" s="157"/>
      <c r="AI477" s="157"/>
      <c r="AJ477" s="157"/>
      <c r="AK477" s="157"/>
      <c r="AL477" s="157"/>
      <c r="AM477" s="157"/>
      <c r="AN477" s="159"/>
      <c r="AO477" s="159"/>
      <c r="AP477" s="160"/>
      <c r="AQ477" s="160"/>
      <c r="AR477" s="160"/>
      <c r="AS477" s="159"/>
      <c r="AT477" s="159"/>
      <c r="AU477" s="161"/>
      <c r="AV477" s="157"/>
      <c r="AW477" s="157"/>
      <c r="AX477" s="157"/>
      <c r="AY477" s="157"/>
      <c r="AZ477" s="157"/>
      <c r="BA477" s="157"/>
      <c r="BB477" s="157"/>
      <c r="BC477" s="151"/>
      <c r="BD477" s="157"/>
      <c r="BE477" s="157"/>
      <c r="BF477" s="157"/>
      <c r="BG477" s="157"/>
      <c r="BH477" s="157"/>
      <c r="BI477" s="157"/>
      <c r="BJ477" s="353"/>
      <c r="BK477" s="353"/>
      <c r="BL477" s="353"/>
      <c r="BM477" s="14"/>
      <c r="BN477" s="14"/>
      <c r="BO477" s="14"/>
    </row>
    <row r="478" spans="1:67" ht="20.100000000000001" customHeight="1">
      <c r="A478" s="157"/>
      <c r="B478" s="1"/>
      <c r="C478" s="157"/>
      <c r="D478" s="1"/>
      <c r="E478" s="150"/>
      <c r="F478" s="150"/>
      <c r="G478" s="151"/>
      <c r="H478" s="150"/>
      <c r="I478" s="150"/>
      <c r="J478" s="151"/>
      <c r="K478" s="151"/>
      <c r="L478" s="150"/>
      <c r="M478" s="151"/>
      <c r="N478" s="151"/>
      <c r="O478" s="151"/>
      <c r="P478" s="150"/>
      <c r="Q478" s="150"/>
      <c r="R478" s="158"/>
      <c r="S478" s="158"/>
      <c r="T478" s="158"/>
      <c r="U478" s="158"/>
      <c r="V478" s="1"/>
      <c r="W478" s="1"/>
      <c r="X478" s="157"/>
      <c r="Y478" s="157"/>
      <c r="Z478" s="157"/>
      <c r="AA478" s="157"/>
      <c r="AB478" s="157"/>
      <c r="AC478" s="151"/>
      <c r="AD478" s="151"/>
      <c r="AE478" s="151"/>
      <c r="AF478" s="157"/>
      <c r="AG478" s="157"/>
      <c r="AH478" s="157"/>
      <c r="AI478" s="157"/>
      <c r="AJ478" s="157"/>
      <c r="AK478" s="157"/>
      <c r="AL478" s="157"/>
      <c r="AM478" s="157"/>
      <c r="AN478" s="159"/>
      <c r="AO478" s="159"/>
      <c r="AP478" s="160"/>
      <c r="AQ478" s="160"/>
      <c r="AR478" s="160"/>
      <c r="AS478" s="159"/>
      <c r="AT478" s="159"/>
      <c r="AU478" s="161"/>
      <c r="AV478" s="157"/>
      <c r="AW478" s="157"/>
      <c r="AX478" s="157"/>
      <c r="AY478" s="157"/>
      <c r="AZ478" s="157"/>
      <c r="BA478" s="157"/>
      <c r="BB478" s="157"/>
      <c r="BC478" s="151"/>
      <c r="BD478" s="157"/>
      <c r="BE478" s="157"/>
      <c r="BF478" s="157"/>
      <c r="BG478" s="157"/>
      <c r="BH478" s="157"/>
      <c r="BI478" s="157"/>
      <c r="BJ478" s="353"/>
      <c r="BK478" s="353"/>
      <c r="BL478" s="353"/>
      <c r="BM478" s="14"/>
      <c r="BN478" s="14"/>
      <c r="BO478" s="14"/>
    </row>
    <row r="479" spans="1:67" ht="20.100000000000001" customHeight="1">
      <c r="A479" s="157"/>
      <c r="B479" s="1"/>
      <c r="C479" s="157"/>
      <c r="D479" s="1"/>
      <c r="E479" s="150"/>
      <c r="F479" s="150"/>
      <c r="G479" s="151"/>
      <c r="H479" s="150"/>
      <c r="I479" s="150"/>
      <c r="J479" s="151"/>
      <c r="K479" s="151"/>
      <c r="L479" s="150"/>
      <c r="M479" s="151"/>
      <c r="N479" s="151"/>
      <c r="O479" s="151"/>
      <c r="P479" s="150"/>
      <c r="Q479" s="150"/>
      <c r="R479" s="158"/>
      <c r="S479" s="158"/>
      <c r="T479" s="158"/>
      <c r="U479" s="158"/>
      <c r="V479" s="1"/>
      <c r="W479" s="1"/>
      <c r="X479" s="157"/>
      <c r="Y479" s="157"/>
      <c r="Z479" s="157"/>
      <c r="AA479" s="157"/>
      <c r="AB479" s="157"/>
      <c r="AC479" s="151"/>
      <c r="AD479" s="151"/>
      <c r="AE479" s="151"/>
      <c r="AF479" s="157"/>
      <c r="AG479" s="157"/>
      <c r="AH479" s="157"/>
      <c r="AI479" s="157"/>
      <c r="AJ479" s="157"/>
      <c r="AK479" s="157"/>
      <c r="AL479" s="157"/>
      <c r="AM479" s="157"/>
      <c r="AN479" s="159"/>
      <c r="AO479" s="159"/>
      <c r="AP479" s="160"/>
      <c r="AQ479" s="160"/>
      <c r="AR479" s="160"/>
      <c r="AS479" s="159"/>
      <c r="AT479" s="159"/>
      <c r="AU479" s="161"/>
      <c r="AV479" s="157"/>
      <c r="AW479" s="157"/>
      <c r="AX479" s="157"/>
      <c r="AY479" s="157"/>
      <c r="AZ479" s="157"/>
      <c r="BA479" s="157"/>
      <c r="BB479" s="157"/>
      <c r="BC479" s="151"/>
      <c r="BD479" s="157"/>
      <c r="BE479" s="157"/>
      <c r="BF479" s="157"/>
      <c r="BG479" s="157"/>
      <c r="BH479" s="157"/>
      <c r="BI479" s="157"/>
      <c r="BJ479" s="353"/>
      <c r="BK479" s="353"/>
      <c r="BL479" s="353"/>
      <c r="BM479" s="14"/>
      <c r="BN479" s="14"/>
      <c r="BO479" s="14"/>
    </row>
    <row r="480" spans="1:67" ht="20.100000000000001" customHeight="1">
      <c r="A480" s="157"/>
      <c r="B480" s="1"/>
      <c r="C480" s="157"/>
      <c r="D480" s="1"/>
      <c r="E480" s="150"/>
      <c r="F480" s="150"/>
      <c r="G480" s="151"/>
      <c r="H480" s="150"/>
      <c r="I480" s="150"/>
      <c r="J480" s="151"/>
      <c r="K480" s="151"/>
      <c r="L480" s="150"/>
      <c r="M480" s="151"/>
      <c r="N480" s="151"/>
      <c r="O480" s="151"/>
      <c r="P480" s="150"/>
      <c r="Q480" s="150"/>
      <c r="R480" s="158"/>
      <c r="S480" s="158"/>
      <c r="T480" s="158"/>
      <c r="U480" s="158"/>
      <c r="V480" s="1"/>
      <c r="W480" s="1"/>
      <c r="X480" s="157"/>
      <c r="Y480" s="157"/>
      <c r="Z480" s="157"/>
      <c r="AA480" s="157"/>
      <c r="AB480" s="157"/>
      <c r="AC480" s="151"/>
      <c r="AD480" s="151"/>
      <c r="AE480" s="151"/>
      <c r="AF480" s="157"/>
      <c r="AG480" s="157"/>
      <c r="AH480" s="157"/>
      <c r="AI480" s="157"/>
      <c r="AJ480" s="157"/>
      <c r="AK480" s="157"/>
      <c r="AL480" s="157"/>
      <c r="AM480" s="157"/>
      <c r="AN480" s="159"/>
      <c r="AO480" s="159"/>
      <c r="AP480" s="160"/>
      <c r="AQ480" s="160"/>
      <c r="AR480" s="160"/>
      <c r="AS480" s="159"/>
      <c r="AT480" s="159"/>
      <c r="AU480" s="161"/>
      <c r="AV480" s="157"/>
      <c r="AW480" s="157"/>
      <c r="AX480" s="157"/>
      <c r="AY480" s="157"/>
      <c r="AZ480" s="157"/>
      <c r="BA480" s="157"/>
      <c r="BB480" s="157"/>
      <c r="BC480" s="151"/>
      <c r="BD480" s="157"/>
      <c r="BE480" s="157"/>
      <c r="BF480" s="157"/>
      <c r="BG480" s="157"/>
      <c r="BH480" s="157"/>
      <c r="BI480" s="157"/>
      <c r="BJ480" s="353"/>
      <c r="BK480" s="353"/>
      <c r="BL480" s="353"/>
      <c r="BM480" s="14"/>
      <c r="BN480" s="14"/>
      <c r="BO480" s="14"/>
    </row>
    <row r="481" spans="1:67" ht="20.100000000000001" customHeight="1">
      <c r="A481" s="157"/>
      <c r="B481" s="1"/>
      <c r="C481" s="157"/>
      <c r="D481" s="1"/>
      <c r="E481" s="150"/>
      <c r="F481" s="150"/>
      <c r="G481" s="151"/>
      <c r="H481" s="150"/>
      <c r="I481" s="150"/>
      <c r="J481" s="151"/>
      <c r="K481" s="151"/>
      <c r="L481" s="150"/>
      <c r="M481" s="151"/>
      <c r="N481" s="151"/>
      <c r="O481" s="151"/>
      <c r="P481" s="150"/>
      <c r="Q481" s="150"/>
      <c r="R481" s="158"/>
      <c r="S481" s="158"/>
      <c r="T481" s="158"/>
      <c r="U481" s="158"/>
      <c r="V481" s="1"/>
      <c r="W481" s="1"/>
      <c r="X481" s="157"/>
      <c r="Y481" s="157"/>
      <c r="Z481" s="157"/>
      <c r="AA481" s="157"/>
      <c r="AB481" s="157"/>
      <c r="AC481" s="151"/>
      <c r="AD481" s="151"/>
      <c r="AE481" s="151"/>
      <c r="AF481" s="157"/>
      <c r="AG481" s="157"/>
      <c r="AH481" s="157"/>
      <c r="AI481" s="157"/>
      <c r="AJ481" s="157"/>
      <c r="AK481" s="157"/>
      <c r="AL481" s="157"/>
      <c r="AM481" s="157"/>
      <c r="AN481" s="159"/>
      <c r="AO481" s="159"/>
      <c r="AP481" s="160"/>
      <c r="AQ481" s="160"/>
      <c r="AR481" s="160"/>
      <c r="AS481" s="159"/>
      <c r="AT481" s="159"/>
      <c r="AU481" s="161"/>
      <c r="AV481" s="157"/>
      <c r="AW481" s="157"/>
      <c r="AX481" s="157"/>
      <c r="AY481" s="157"/>
      <c r="AZ481" s="157"/>
      <c r="BA481" s="157"/>
      <c r="BB481" s="157"/>
      <c r="BC481" s="151"/>
      <c r="BD481" s="157"/>
      <c r="BE481" s="157"/>
      <c r="BF481" s="157"/>
      <c r="BG481" s="157"/>
      <c r="BH481" s="157"/>
      <c r="BI481" s="157"/>
      <c r="BJ481" s="353"/>
      <c r="BK481" s="353"/>
      <c r="BL481" s="353"/>
      <c r="BM481" s="14"/>
      <c r="BN481" s="14"/>
      <c r="BO481" s="14"/>
    </row>
    <row r="482" spans="1:67" ht="20.100000000000001" customHeight="1">
      <c r="A482" s="157"/>
      <c r="B482" s="1"/>
      <c r="C482" s="157"/>
      <c r="D482" s="1"/>
      <c r="E482" s="150"/>
      <c r="F482" s="150"/>
      <c r="G482" s="151"/>
      <c r="H482" s="150"/>
      <c r="I482" s="150"/>
      <c r="J482" s="151"/>
      <c r="K482" s="151"/>
      <c r="L482" s="150"/>
      <c r="M482" s="151"/>
      <c r="N482" s="151"/>
      <c r="O482" s="151"/>
      <c r="P482" s="150"/>
      <c r="Q482" s="150"/>
      <c r="R482" s="158"/>
      <c r="S482" s="158"/>
      <c r="T482" s="158"/>
      <c r="U482" s="158"/>
      <c r="V482" s="1"/>
      <c r="W482" s="1"/>
      <c r="X482" s="157"/>
      <c r="Y482" s="157"/>
      <c r="Z482" s="157"/>
      <c r="AA482" s="157"/>
      <c r="AB482" s="157"/>
      <c r="AC482" s="151"/>
      <c r="AD482" s="151"/>
      <c r="AE482" s="151"/>
      <c r="AF482" s="157"/>
      <c r="AG482" s="157"/>
      <c r="AH482" s="157"/>
      <c r="AI482" s="157"/>
      <c r="AJ482" s="157"/>
      <c r="AK482" s="157"/>
      <c r="AL482" s="157"/>
      <c r="AM482" s="157"/>
      <c r="AN482" s="159"/>
      <c r="AO482" s="159"/>
      <c r="AP482" s="160"/>
      <c r="AQ482" s="160"/>
      <c r="AR482" s="160"/>
      <c r="AS482" s="159"/>
      <c r="AT482" s="159"/>
      <c r="AU482" s="161"/>
      <c r="AV482" s="157"/>
      <c r="AW482" s="157"/>
      <c r="AX482" s="157"/>
      <c r="AY482" s="157"/>
      <c r="AZ482" s="157"/>
      <c r="BA482" s="157"/>
      <c r="BB482" s="157"/>
      <c r="BC482" s="151"/>
      <c r="BD482" s="157"/>
      <c r="BE482" s="157"/>
      <c r="BF482" s="157"/>
      <c r="BG482" s="157"/>
      <c r="BH482" s="157"/>
      <c r="BI482" s="157"/>
      <c r="BJ482" s="353"/>
      <c r="BK482" s="353"/>
      <c r="BL482" s="353"/>
      <c r="BM482" s="14"/>
      <c r="BN482" s="14"/>
      <c r="BO482" s="14"/>
    </row>
    <row r="483" spans="1:67" ht="20.100000000000001" customHeight="1">
      <c r="A483" s="157"/>
      <c r="B483" s="1"/>
      <c r="C483" s="157"/>
      <c r="D483" s="1"/>
      <c r="E483" s="150"/>
      <c r="F483" s="150"/>
      <c r="G483" s="151"/>
      <c r="H483" s="150"/>
      <c r="I483" s="150"/>
      <c r="J483" s="151"/>
      <c r="K483" s="151"/>
      <c r="L483" s="150"/>
      <c r="M483" s="151"/>
      <c r="N483" s="151"/>
      <c r="O483" s="151"/>
      <c r="P483" s="150"/>
      <c r="Q483" s="150"/>
      <c r="R483" s="158"/>
      <c r="S483" s="158"/>
      <c r="T483" s="158"/>
      <c r="U483" s="158"/>
      <c r="V483" s="1"/>
      <c r="W483" s="1"/>
      <c r="X483" s="157"/>
      <c r="Y483" s="157"/>
      <c r="Z483" s="157"/>
      <c r="AA483" s="157"/>
      <c r="AB483" s="157"/>
      <c r="AC483" s="151"/>
      <c r="AD483" s="151"/>
      <c r="AE483" s="151"/>
      <c r="AF483" s="157"/>
      <c r="AG483" s="157"/>
      <c r="AH483" s="157"/>
      <c r="AI483" s="157"/>
      <c r="AJ483" s="157"/>
      <c r="AK483" s="157"/>
      <c r="AL483" s="157"/>
      <c r="AM483" s="157"/>
      <c r="AN483" s="159"/>
      <c r="AO483" s="159"/>
      <c r="AP483" s="160"/>
      <c r="AQ483" s="160"/>
      <c r="AR483" s="160"/>
      <c r="AS483" s="159"/>
      <c r="AT483" s="159"/>
      <c r="AU483" s="161"/>
      <c r="AV483" s="157"/>
      <c r="AW483" s="157"/>
      <c r="AX483" s="157"/>
      <c r="AY483" s="157"/>
      <c r="AZ483" s="157"/>
      <c r="BA483" s="157"/>
      <c r="BB483" s="157"/>
      <c r="BC483" s="151"/>
      <c r="BD483" s="157"/>
      <c r="BE483" s="157"/>
      <c r="BF483" s="157"/>
      <c r="BG483" s="157"/>
      <c r="BH483" s="157"/>
      <c r="BI483" s="157"/>
      <c r="BJ483" s="353"/>
      <c r="BK483" s="353"/>
      <c r="BL483" s="353"/>
      <c r="BM483" s="14"/>
      <c r="BN483" s="14"/>
      <c r="BO483" s="14"/>
    </row>
    <row r="484" spans="1:67" ht="20.100000000000001" customHeight="1">
      <c r="A484" s="157"/>
      <c r="B484" s="1"/>
      <c r="C484" s="157"/>
      <c r="D484" s="1"/>
      <c r="E484" s="150"/>
      <c r="F484" s="150"/>
      <c r="G484" s="151"/>
      <c r="H484" s="150"/>
      <c r="I484" s="150"/>
      <c r="J484" s="151"/>
      <c r="K484" s="151"/>
      <c r="L484" s="150"/>
      <c r="M484" s="151"/>
      <c r="N484" s="151"/>
      <c r="O484" s="151"/>
      <c r="P484" s="150"/>
      <c r="Q484" s="150"/>
      <c r="R484" s="158"/>
      <c r="S484" s="158"/>
      <c r="T484" s="158"/>
      <c r="U484" s="158"/>
      <c r="V484" s="1"/>
      <c r="W484" s="1"/>
      <c r="X484" s="157"/>
      <c r="Y484" s="157"/>
      <c r="Z484" s="157"/>
      <c r="AA484" s="157"/>
      <c r="AB484" s="157"/>
      <c r="AC484" s="151"/>
      <c r="AD484" s="151"/>
      <c r="AE484" s="151"/>
      <c r="AF484" s="157"/>
      <c r="AG484" s="157"/>
      <c r="AH484" s="157"/>
      <c r="AI484" s="157"/>
      <c r="AJ484" s="157"/>
      <c r="AK484" s="157"/>
      <c r="AL484" s="157"/>
      <c r="AM484" s="157"/>
      <c r="AN484" s="159"/>
      <c r="AO484" s="159"/>
      <c r="AP484" s="160"/>
      <c r="AQ484" s="160"/>
      <c r="AR484" s="160"/>
      <c r="AS484" s="159"/>
      <c r="AT484" s="159"/>
      <c r="AU484" s="161"/>
      <c r="AV484" s="157"/>
      <c r="AW484" s="157"/>
      <c r="AX484" s="157"/>
      <c r="AY484" s="157"/>
      <c r="AZ484" s="157"/>
      <c r="BA484" s="157"/>
      <c r="BB484" s="157"/>
      <c r="BC484" s="151"/>
      <c r="BD484" s="157"/>
      <c r="BE484" s="157"/>
      <c r="BF484" s="157"/>
      <c r="BG484" s="157"/>
      <c r="BH484" s="157"/>
      <c r="BI484" s="157"/>
      <c r="BJ484" s="353"/>
      <c r="BK484" s="353"/>
      <c r="BL484" s="353"/>
      <c r="BM484" s="14"/>
      <c r="BN484" s="14"/>
      <c r="BO484" s="14"/>
    </row>
    <row r="485" spans="1:67" ht="20.100000000000001" customHeight="1">
      <c r="A485" s="157"/>
      <c r="B485" s="1"/>
      <c r="C485" s="157"/>
      <c r="D485" s="1"/>
      <c r="E485" s="150"/>
      <c r="F485" s="150"/>
      <c r="G485" s="151"/>
      <c r="H485" s="150"/>
      <c r="I485" s="150"/>
      <c r="J485" s="151"/>
      <c r="K485" s="151"/>
      <c r="L485" s="150"/>
      <c r="M485" s="151"/>
      <c r="N485" s="151"/>
      <c r="O485" s="151"/>
      <c r="P485" s="150"/>
      <c r="Q485" s="150"/>
      <c r="R485" s="158"/>
      <c r="S485" s="158"/>
      <c r="T485" s="158"/>
      <c r="U485" s="158"/>
      <c r="V485" s="1"/>
      <c r="W485" s="1"/>
      <c r="X485" s="157"/>
      <c r="Y485" s="157"/>
      <c r="Z485" s="157"/>
      <c r="AA485" s="157"/>
      <c r="AB485" s="157"/>
      <c r="AC485" s="151"/>
      <c r="AD485" s="151"/>
      <c r="AE485" s="151"/>
      <c r="AF485" s="157"/>
      <c r="AG485" s="157"/>
      <c r="AH485" s="157"/>
      <c r="AI485" s="157"/>
      <c r="AJ485" s="157"/>
      <c r="AK485" s="157"/>
      <c r="AL485" s="157"/>
      <c r="AM485" s="157"/>
      <c r="AN485" s="159"/>
      <c r="AO485" s="159"/>
      <c r="AP485" s="160"/>
      <c r="AQ485" s="160"/>
      <c r="AR485" s="160"/>
      <c r="AS485" s="159"/>
      <c r="AT485" s="159"/>
      <c r="AU485" s="161"/>
      <c r="AV485" s="157"/>
      <c r="AW485" s="157"/>
      <c r="AX485" s="157"/>
      <c r="AY485" s="157"/>
      <c r="AZ485" s="157"/>
      <c r="BA485" s="157"/>
      <c r="BB485" s="157"/>
      <c r="BC485" s="151"/>
      <c r="BD485" s="157"/>
      <c r="BE485" s="157"/>
      <c r="BF485" s="157"/>
      <c r="BG485" s="157"/>
      <c r="BH485" s="157"/>
      <c r="BI485" s="157"/>
      <c r="BJ485" s="353"/>
      <c r="BK485" s="353"/>
      <c r="BL485" s="353"/>
      <c r="BM485" s="14"/>
      <c r="BN485" s="14"/>
      <c r="BO485" s="14"/>
    </row>
    <row r="486" spans="1:67" ht="20.100000000000001" customHeight="1">
      <c r="A486" s="157"/>
      <c r="B486" s="1"/>
      <c r="C486" s="157"/>
      <c r="D486" s="1"/>
      <c r="E486" s="150"/>
      <c r="F486" s="150"/>
      <c r="G486" s="151"/>
      <c r="H486" s="150"/>
      <c r="I486" s="150"/>
      <c r="J486" s="151"/>
      <c r="K486" s="151"/>
      <c r="L486" s="150"/>
      <c r="M486" s="151"/>
      <c r="N486" s="151"/>
      <c r="O486" s="151"/>
      <c r="P486" s="150"/>
      <c r="Q486" s="150"/>
      <c r="R486" s="158"/>
      <c r="S486" s="158"/>
      <c r="T486" s="158"/>
      <c r="U486" s="158"/>
      <c r="V486" s="1"/>
      <c r="W486" s="1"/>
      <c r="X486" s="157"/>
      <c r="Y486" s="157"/>
      <c r="Z486" s="157"/>
      <c r="AA486" s="157"/>
      <c r="AB486" s="157"/>
      <c r="AC486" s="151"/>
      <c r="AD486" s="151"/>
      <c r="AE486" s="151"/>
      <c r="AF486" s="157"/>
      <c r="AG486" s="157"/>
      <c r="AH486" s="157"/>
      <c r="AI486" s="157"/>
      <c r="AJ486" s="157"/>
      <c r="AK486" s="157"/>
      <c r="AL486" s="157"/>
      <c r="AM486" s="157"/>
      <c r="AN486" s="159"/>
      <c r="AO486" s="159"/>
      <c r="AP486" s="160"/>
      <c r="AQ486" s="160"/>
      <c r="AR486" s="160"/>
      <c r="AS486" s="159"/>
      <c r="AT486" s="159"/>
      <c r="AU486" s="161"/>
      <c r="AV486" s="157"/>
      <c r="AW486" s="157"/>
      <c r="AX486" s="157"/>
      <c r="AY486" s="157"/>
      <c r="AZ486" s="157"/>
      <c r="BA486" s="157"/>
      <c r="BB486" s="157"/>
      <c r="BC486" s="151"/>
      <c r="BD486" s="157"/>
      <c r="BE486" s="157"/>
      <c r="BF486" s="157"/>
      <c r="BG486" s="157"/>
      <c r="BH486" s="157"/>
      <c r="BI486" s="157"/>
      <c r="BJ486" s="353"/>
      <c r="BK486" s="353"/>
      <c r="BL486" s="353"/>
      <c r="BM486" s="14"/>
      <c r="BN486" s="14"/>
      <c r="BO486" s="14"/>
    </row>
    <row r="487" spans="1:67" ht="20.100000000000001" customHeight="1">
      <c r="A487" s="157"/>
      <c r="B487" s="1"/>
      <c r="C487" s="157"/>
      <c r="D487" s="1"/>
      <c r="E487" s="150"/>
      <c r="F487" s="150"/>
      <c r="G487" s="151"/>
      <c r="H487" s="150"/>
      <c r="I487" s="150"/>
      <c r="J487" s="151"/>
      <c r="K487" s="151"/>
      <c r="L487" s="150"/>
      <c r="M487" s="151"/>
      <c r="N487" s="151"/>
      <c r="O487" s="151"/>
      <c r="P487" s="150"/>
      <c r="Q487" s="150"/>
      <c r="R487" s="158"/>
      <c r="S487" s="158"/>
      <c r="T487" s="158"/>
      <c r="U487" s="158"/>
      <c r="V487" s="1"/>
      <c r="W487" s="1"/>
      <c r="X487" s="157"/>
      <c r="Y487" s="157"/>
      <c r="Z487" s="157"/>
      <c r="AA487" s="157"/>
      <c r="AB487" s="157"/>
      <c r="AC487" s="151"/>
      <c r="AD487" s="151"/>
      <c r="AE487" s="151"/>
      <c r="AF487" s="157"/>
      <c r="AG487" s="157"/>
      <c r="AH487" s="157"/>
      <c r="AI487" s="157"/>
      <c r="AJ487" s="157"/>
      <c r="AK487" s="157"/>
      <c r="AL487" s="157"/>
      <c r="AM487" s="157"/>
      <c r="AN487" s="159"/>
      <c r="AO487" s="159"/>
      <c r="AP487" s="160"/>
      <c r="AQ487" s="160"/>
      <c r="AR487" s="160"/>
      <c r="AS487" s="159"/>
      <c r="AT487" s="159"/>
      <c r="AU487" s="161"/>
      <c r="AV487" s="157"/>
      <c r="AW487" s="157"/>
      <c r="AX487" s="157"/>
      <c r="AY487" s="157"/>
      <c r="AZ487" s="157"/>
      <c r="BA487" s="157"/>
      <c r="BB487" s="157"/>
      <c r="BC487" s="151"/>
      <c r="BD487" s="157"/>
      <c r="BE487" s="157"/>
      <c r="BF487" s="157"/>
      <c r="BG487" s="157"/>
      <c r="BH487" s="157"/>
      <c r="BI487" s="157"/>
      <c r="BJ487" s="353"/>
      <c r="BK487" s="353"/>
      <c r="BL487" s="353"/>
      <c r="BM487" s="14"/>
      <c r="BN487" s="14"/>
      <c r="BO487" s="14"/>
    </row>
    <row r="488" spans="1:67" ht="20.100000000000001" customHeight="1">
      <c r="A488" s="157"/>
      <c r="B488" s="1"/>
      <c r="C488" s="157"/>
      <c r="D488" s="1"/>
      <c r="E488" s="150"/>
      <c r="F488" s="150"/>
      <c r="G488" s="151"/>
      <c r="H488" s="150"/>
      <c r="I488" s="150"/>
      <c r="J488" s="151"/>
      <c r="K488" s="151"/>
      <c r="L488" s="150"/>
      <c r="M488" s="151"/>
      <c r="N488" s="151"/>
      <c r="O488" s="151"/>
      <c r="P488" s="150"/>
      <c r="Q488" s="150"/>
      <c r="R488" s="158"/>
      <c r="S488" s="158"/>
      <c r="T488" s="158"/>
      <c r="U488" s="158"/>
      <c r="V488" s="1"/>
      <c r="W488" s="1"/>
      <c r="X488" s="157"/>
      <c r="Y488" s="157"/>
      <c r="Z488" s="157"/>
      <c r="AA488" s="157"/>
      <c r="AB488" s="157"/>
      <c r="AC488" s="151"/>
      <c r="AD488" s="151"/>
      <c r="AE488" s="151"/>
      <c r="AF488" s="157"/>
      <c r="AG488" s="157"/>
      <c r="AH488" s="157"/>
      <c r="AI488" s="157"/>
      <c r="AJ488" s="157"/>
      <c r="AK488" s="157"/>
      <c r="AL488" s="157"/>
      <c r="AM488" s="157"/>
      <c r="AN488" s="159"/>
      <c r="AO488" s="159"/>
      <c r="AP488" s="160"/>
      <c r="AQ488" s="160"/>
      <c r="AR488" s="160"/>
      <c r="AS488" s="159"/>
      <c r="AT488" s="159"/>
      <c r="AU488" s="161"/>
      <c r="AV488" s="157"/>
      <c r="AW488" s="157"/>
      <c r="AX488" s="157"/>
      <c r="AY488" s="157"/>
      <c r="AZ488" s="157"/>
      <c r="BA488" s="157"/>
      <c r="BB488" s="157"/>
      <c r="BC488" s="151"/>
      <c r="BD488" s="157"/>
      <c r="BE488" s="157"/>
      <c r="BF488" s="157"/>
      <c r="BG488" s="157"/>
      <c r="BH488" s="157"/>
      <c r="BI488" s="157"/>
      <c r="BJ488" s="353"/>
      <c r="BK488" s="353"/>
      <c r="BL488" s="353"/>
      <c r="BM488" s="14"/>
      <c r="BN488" s="14"/>
      <c r="BO488" s="14"/>
    </row>
    <row r="489" spans="1:67" ht="20.100000000000001" customHeight="1">
      <c r="A489" s="157"/>
      <c r="B489" s="1"/>
      <c r="C489" s="157"/>
      <c r="D489" s="1"/>
      <c r="E489" s="150"/>
      <c r="F489" s="150"/>
      <c r="G489" s="151"/>
      <c r="H489" s="150"/>
      <c r="I489" s="150"/>
      <c r="J489" s="151"/>
      <c r="K489" s="151"/>
      <c r="L489" s="150"/>
      <c r="M489" s="151"/>
      <c r="N489" s="151"/>
      <c r="O489" s="151"/>
      <c r="P489" s="150"/>
      <c r="Q489" s="150"/>
      <c r="R489" s="158"/>
      <c r="S489" s="158"/>
      <c r="T489" s="158"/>
      <c r="U489" s="158"/>
      <c r="V489" s="1"/>
      <c r="W489" s="1"/>
      <c r="X489" s="157"/>
      <c r="Y489" s="157"/>
      <c r="Z489" s="157"/>
      <c r="AA489" s="157"/>
      <c r="AB489" s="157"/>
      <c r="AC489" s="151"/>
      <c r="AD489" s="151"/>
      <c r="AE489" s="151"/>
      <c r="AF489" s="157"/>
      <c r="AG489" s="157"/>
      <c r="AH489" s="157"/>
      <c r="AI489" s="157"/>
      <c r="AJ489" s="157"/>
      <c r="AK489" s="157"/>
      <c r="AL489" s="157"/>
      <c r="AM489" s="157"/>
      <c r="AN489" s="159"/>
      <c r="AO489" s="159"/>
      <c r="AP489" s="160"/>
      <c r="AQ489" s="160"/>
      <c r="AR489" s="160"/>
      <c r="AS489" s="159"/>
      <c r="AT489" s="159"/>
      <c r="AU489" s="161"/>
      <c r="AV489" s="157"/>
      <c r="AW489" s="157"/>
      <c r="AX489" s="157"/>
      <c r="AY489" s="157"/>
      <c r="AZ489" s="157"/>
      <c r="BA489" s="157"/>
      <c r="BB489" s="157"/>
      <c r="BC489" s="151"/>
      <c r="BD489" s="157"/>
      <c r="BE489" s="157"/>
      <c r="BF489" s="157"/>
      <c r="BG489" s="157"/>
      <c r="BH489" s="157"/>
      <c r="BI489" s="157"/>
      <c r="BJ489" s="353"/>
      <c r="BK489" s="353"/>
      <c r="BL489" s="353"/>
      <c r="BM489" s="14"/>
      <c r="BN489" s="14"/>
      <c r="BO489" s="14"/>
    </row>
    <row r="490" spans="1:67" ht="20.100000000000001" customHeight="1">
      <c r="A490" s="157"/>
      <c r="B490" s="1"/>
      <c r="C490" s="157"/>
      <c r="D490" s="1"/>
      <c r="E490" s="150"/>
      <c r="F490" s="150"/>
      <c r="G490" s="151"/>
      <c r="H490" s="150"/>
      <c r="I490" s="150"/>
      <c r="J490" s="151"/>
      <c r="K490" s="151"/>
      <c r="L490" s="150"/>
      <c r="M490" s="151"/>
      <c r="N490" s="151"/>
      <c r="O490" s="151"/>
      <c r="P490" s="150"/>
      <c r="Q490" s="150"/>
      <c r="R490" s="158"/>
      <c r="S490" s="158"/>
      <c r="T490" s="158"/>
      <c r="U490" s="158"/>
      <c r="V490" s="1"/>
      <c r="W490" s="1"/>
      <c r="X490" s="157"/>
      <c r="Y490" s="157"/>
      <c r="Z490" s="157"/>
      <c r="AA490" s="157"/>
      <c r="AB490" s="157"/>
      <c r="AC490" s="151"/>
      <c r="AD490" s="151"/>
      <c r="AE490" s="151"/>
      <c r="AF490" s="157"/>
      <c r="AG490" s="157"/>
      <c r="AH490" s="157"/>
      <c r="AI490" s="157"/>
      <c r="AJ490" s="157"/>
      <c r="AK490" s="157"/>
      <c r="AL490" s="157"/>
      <c r="AM490" s="157"/>
      <c r="AN490" s="159"/>
      <c r="AO490" s="159"/>
      <c r="AP490" s="160"/>
      <c r="AQ490" s="160"/>
      <c r="AR490" s="160"/>
      <c r="AS490" s="159"/>
      <c r="AT490" s="159"/>
      <c r="AU490" s="161"/>
      <c r="AV490" s="157"/>
      <c r="AW490" s="157"/>
      <c r="AX490" s="157"/>
      <c r="AY490" s="157"/>
      <c r="AZ490" s="157"/>
      <c r="BA490" s="157"/>
      <c r="BB490" s="157"/>
      <c r="BC490" s="151"/>
      <c r="BD490" s="157"/>
      <c r="BE490" s="157"/>
      <c r="BF490" s="157"/>
      <c r="BG490" s="157"/>
      <c r="BH490" s="157"/>
      <c r="BI490" s="157"/>
      <c r="BJ490" s="353"/>
      <c r="BK490" s="353"/>
      <c r="BL490" s="353"/>
      <c r="BM490" s="14"/>
      <c r="BN490" s="14"/>
      <c r="BO490" s="14"/>
    </row>
    <row r="491" spans="1:67" ht="20.100000000000001" customHeight="1">
      <c r="A491" s="157"/>
      <c r="B491" s="1"/>
      <c r="C491" s="157"/>
      <c r="D491" s="1"/>
      <c r="E491" s="150"/>
      <c r="F491" s="150"/>
      <c r="G491" s="151"/>
      <c r="H491" s="150"/>
      <c r="I491" s="150"/>
      <c r="J491" s="151"/>
      <c r="K491" s="151"/>
      <c r="L491" s="150"/>
      <c r="M491" s="151"/>
      <c r="N491" s="151"/>
      <c r="O491" s="151"/>
      <c r="P491" s="150"/>
      <c r="Q491" s="150"/>
      <c r="R491" s="158"/>
      <c r="S491" s="158"/>
      <c r="T491" s="158"/>
      <c r="U491" s="158"/>
      <c r="V491" s="1"/>
      <c r="W491" s="1"/>
      <c r="X491" s="157"/>
      <c r="Y491" s="157"/>
      <c r="Z491" s="157"/>
      <c r="AA491" s="157"/>
      <c r="AB491" s="157"/>
      <c r="AC491" s="151"/>
      <c r="AD491" s="151"/>
      <c r="AE491" s="151"/>
      <c r="AF491" s="157"/>
      <c r="AG491" s="157"/>
      <c r="AH491" s="157"/>
      <c r="AI491" s="157"/>
      <c r="AJ491" s="157"/>
      <c r="AK491" s="157"/>
      <c r="AL491" s="157"/>
      <c r="AM491" s="157"/>
      <c r="AN491" s="159"/>
      <c r="AO491" s="159"/>
      <c r="AP491" s="160"/>
      <c r="AQ491" s="160"/>
      <c r="AR491" s="160"/>
      <c r="AS491" s="159"/>
      <c r="AT491" s="159"/>
      <c r="AU491" s="161"/>
      <c r="AV491" s="157"/>
      <c r="AW491" s="157"/>
      <c r="AX491" s="157"/>
      <c r="AY491" s="157"/>
      <c r="AZ491" s="157"/>
      <c r="BA491" s="157"/>
      <c r="BB491" s="157"/>
      <c r="BC491" s="151"/>
      <c r="BD491" s="157"/>
      <c r="BE491" s="157"/>
      <c r="BF491" s="157"/>
      <c r="BG491" s="157"/>
      <c r="BH491" s="157"/>
      <c r="BI491" s="157"/>
      <c r="BJ491" s="353"/>
      <c r="BK491" s="353"/>
      <c r="BL491" s="353"/>
      <c r="BM491" s="14"/>
      <c r="BN491" s="14"/>
      <c r="BO491" s="14"/>
    </row>
    <row r="492" spans="1:67" ht="20.100000000000001" customHeight="1">
      <c r="A492" s="157"/>
      <c r="B492" s="1"/>
      <c r="C492" s="157"/>
      <c r="D492" s="1"/>
      <c r="E492" s="150"/>
      <c r="F492" s="150"/>
      <c r="G492" s="151"/>
      <c r="H492" s="150"/>
      <c r="I492" s="150"/>
      <c r="J492" s="151"/>
      <c r="K492" s="151"/>
      <c r="L492" s="150"/>
      <c r="M492" s="151"/>
      <c r="N492" s="151"/>
      <c r="O492" s="151"/>
      <c r="P492" s="150"/>
      <c r="Q492" s="150"/>
      <c r="R492" s="158"/>
      <c r="S492" s="158"/>
      <c r="T492" s="158"/>
      <c r="U492" s="158"/>
      <c r="V492" s="1"/>
      <c r="W492" s="1"/>
      <c r="X492" s="157"/>
      <c r="Y492" s="157"/>
      <c r="Z492" s="157"/>
      <c r="AA492" s="157"/>
      <c r="AB492" s="157"/>
      <c r="AC492" s="151"/>
      <c r="AD492" s="151"/>
      <c r="AE492" s="151"/>
      <c r="AF492" s="157"/>
      <c r="AG492" s="157"/>
      <c r="AH492" s="157"/>
      <c r="AI492" s="157"/>
      <c r="AJ492" s="157"/>
      <c r="AK492" s="157"/>
      <c r="AL492" s="157"/>
      <c r="AM492" s="157"/>
      <c r="AN492" s="159"/>
      <c r="AO492" s="159"/>
      <c r="AP492" s="160"/>
      <c r="AQ492" s="160"/>
      <c r="AR492" s="160"/>
      <c r="AS492" s="159"/>
      <c r="AT492" s="159"/>
      <c r="AU492" s="161"/>
      <c r="AV492" s="157"/>
      <c r="AW492" s="157"/>
      <c r="AX492" s="157"/>
      <c r="AY492" s="157"/>
      <c r="AZ492" s="157"/>
      <c r="BA492" s="157"/>
      <c r="BB492" s="157"/>
      <c r="BC492" s="151"/>
      <c r="BD492" s="157"/>
      <c r="BE492" s="157"/>
      <c r="BF492" s="157"/>
      <c r="BG492" s="157"/>
      <c r="BH492" s="157"/>
      <c r="BI492" s="157"/>
      <c r="BJ492" s="353"/>
      <c r="BK492" s="353"/>
      <c r="BL492" s="353"/>
      <c r="BM492" s="14"/>
      <c r="BN492" s="14"/>
      <c r="BO492" s="14"/>
    </row>
    <row r="493" spans="1:67" ht="20.100000000000001" customHeight="1">
      <c r="A493" s="157"/>
      <c r="B493" s="1"/>
      <c r="C493" s="157"/>
      <c r="D493" s="1"/>
      <c r="E493" s="150"/>
      <c r="F493" s="150"/>
      <c r="G493" s="151"/>
      <c r="H493" s="150"/>
      <c r="I493" s="150"/>
      <c r="J493" s="151"/>
      <c r="K493" s="151"/>
      <c r="L493" s="150"/>
      <c r="M493" s="151"/>
      <c r="N493" s="151"/>
      <c r="O493" s="151"/>
      <c r="P493" s="150"/>
      <c r="Q493" s="150"/>
      <c r="R493" s="158"/>
      <c r="S493" s="158"/>
      <c r="T493" s="158"/>
      <c r="U493" s="158"/>
      <c r="V493" s="1"/>
      <c r="W493" s="1"/>
      <c r="X493" s="157"/>
      <c r="Y493" s="157"/>
      <c r="Z493" s="157"/>
      <c r="AA493" s="157"/>
      <c r="AB493" s="157"/>
      <c r="AC493" s="151"/>
      <c r="AD493" s="151"/>
      <c r="AE493" s="151"/>
      <c r="AF493" s="157"/>
      <c r="AG493" s="157"/>
      <c r="AH493" s="157"/>
      <c r="AI493" s="157"/>
      <c r="AJ493" s="157"/>
      <c r="AK493" s="157"/>
      <c r="AL493" s="157"/>
      <c r="AM493" s="157"/>
      <c r="AN493" s="159"/>
      <c r="AO493" s="159"/>
      <c r="AP493" s="160"/>
      <c r="AQ493" s="160"/>
      <c r="AR493" s="160"/>
      <c r="AS493" s="159"/>
      <c r="AT493" s="159"/>
      <c r="AU493" s="161"/>
      <c r="AV493" s="157"/>
      <c r="AW493" s="157"/>
      <c r="AX493" s="157"/>
      <c r="AY493" s="157"/>
      <c r="AZ493" s="157"/>
      <c r="BA493" s="157"/>
      <c r="BB493" s="157"/>
      <c r="BC493" s="151"/>
      <c r="BD493" s="157"/>
      <c r="BE493" s="157"/>
      <c r="BF493" s="157"/>
      <c r="BG493" s="157"/>
      <c r="BH493" s="157"/>
      <c r="BI493" s="157"/>
      <c r="BJ493" s="353"/>
      <c r="BK493" s="353"/>
      <c r="BL493" s="353"/>
      <c r="BM493" s="14"/>
      <c r="BN493" s="14"/>
      <c r="BO493" s="14"/>
    </row>
    <row r="494" spans="1:67" ht="20.100000000000001" customHeight="1">
      <c r="A494" s="157"/>
      <c r="B494" s="1"/>
      <c r="C494" s="157"/>
      <c r="D494" s="1"/>
      <c r="E494" s="150"/>
      <c r="F494" s="150"/>
      <c r="G494" s="151"/>
      <c r="H494" s="150"/>
      <c r="I494" s="150"/>
      <c r="J494" s="151"/>
      <c r="K494" s="151"/>
      <c r="L494" s="150"/>
      <c r="M494" s="151"/>
      <c r="N494" s="151"/>
      <c r="O494" s="151"/>
      <c r="P494" s="150"/>
      <c r="Q494" s="150"/>
      <c r="R494" s="158"/>
      <c r="S494" s="158"/>
      <c r="T494" s="158"/>
      <c r="U494" s="158"/>
      <c r="V494" s="1"/>
      <c r="W494" s="1"/>
      <c r="X494" s="157"/>
      <c r="Y494" s="157"/>
      <c r="Z494" s="157"/>
      <c r="AA494" s="157"/>
      <c r="AB494" s="157"/>
      <c r="AC494" s="151"/>
      <c r="AD494" s="151"/>
      <c r="AE494" s="151"/>
      <c r="AF494" s="157"/>
      <c r="AG494" s="157"/>
      <c r="AH494" s="157"/>
      <c r="AI494" s="157"/>
      <c r="AJ494" s="157"/>
      <c r="AK494" s="157"/>
      <c r="AL494" s="157"/>
      <c r="AM494" s="157"/>
      <c r="AN494" s="159"/>
      <c r="AO494" s="159"/>
      <c r="AP494" s="160"/>
      <c r="AQ494" s="160"/>
      <c r="AR494" s="160"/>
      <c r="AS494" s="159"/>
      <c r="AT494" s="159"/>
      <c r="AU494" s="161"/>
      <c r="AV494" s="157"/>
      <c r="AW494" s="157"/>
      <c r="AX494" s="157"/>
      <c r="AY494" s="157"/>
      <c r="AZ494" s="157"/>
      <c r="BA494" s="157"/>
      <c r="BB494" s="157"/>
      <c r="BC494" s="151"/>
      <c r="BD494" s="157"/>
      <c r="BE494" s="157"/>
      <c r="BF494" s="157"/>
      <c r="BG494" s="157"/>
      <c r="BH494" s="157"/>
      <c r="BI494" s="157"/>
      <c r="BJ494" s="353"/>
      <c r="BK494" s="353"/>
      <c r="BL494" s="353"/>
      <c r="BM494" s="14"/>
      <c r="BN494" s="14"/>
      <c r="BO494" s="14"/>
    </row>
    <row r="495" spans="1:67" ht="20.100000000000001" customHeight="1">
      <c r="A495" s="157"/>
      <c r="B495" s="1"/>
      <c r="C495" s="157"/>
      <c r="D495" s="1"/>
      <c r="E495" s="150"/>
      <c r="F495" s="150"/>
      <c r="G495" s="151"/>
      <c r="H495" s="150"/>
      <c r="I495" s="150"/>
      <c r="J495" s="151"/>
      <c r="K495" s="151"/>
      <c r="L495" s="150"/>
      <c r="M495" s="151"/>
      <c r="N495" s="151"/>
      <c r="O495" s="151"/>
      <c r="P495" s="150"/>
      <c r="Q495" s="150"/>
      <c r="R495" s="158"/>
      <c r="S495" s="158"/>
      <c r="T495" s="158"/>
      <c r="U495" s="158"/>
      <c r="V495" s="1"/>
      <c r="W495" s="1"/>
      <c r="X495" s="157"/>
      <c r="Y495" s="157"/>
      <c r="Z495" s="157"/>
      <c r="AA495" s="157"/>
      <c r="AB495" s="157"/>
      <c r="AC495" s="151"/>
      <c r="AD495" s="151"/>
      <c r="AE495" s="151"/>
      <c r="AF495" s="157"/>
      <c r="AG495" s="157"/>
      <c r="AH495" s="157"/>
      <c r="AI495" s="157"/>
      <c r="AJ495" s="157"/>
      <c r="AK495" s="157"/>
      <c r="AL495" s="157"/>
      <c r="AM495" s="157"/>
      <c r="AN495" s="159"/>
      <c r="AO495" s="159"/>
      <c r="AP495" s="160"/>
      <c r="AQ495" s="160"/>
      <c r="AR495" s="160"/>
      <c r="AS495" s="159"/>
      <c r="AT495" s="159"/>
      <c r="AU495" s="161"/>
      <c r="AV495" s="157"/>
      <c r="AW495" s="157"/>
      <c r="AX495" s="157"/>
      <c r="AY495" s="157"/>
      <c r="AZ495" s="157"/>
      <c r="BA495" s="157"/>
      <c r="BB495" s="157"/>
      <c r="BC495" s="151"/>
      <c r="BD495" s="157"/>
      <c r="BE495" s="157"/>
      <c r="BF495" s="157"/>
      <c r="BG495" s="157"/>
      <c r="BH495" s="157"/>
      <c r="BI495" s="157"/>
      <c r="BJ495" s="353"/>
      <c r="BK495" s="353"/>
      <c r="BL495" s="353"/>
      <c r="BM495" s="14"/>
      <c r="BN495" s="14"/>
      <c r="BO495" s="14"/>
    </row>
    <row r="496" spans="1:67" ht="20.100000000000001" customHeight="1">
      <c r="A496" s="157"/>
      <c r="B496" s="1"/>
      <c r="C496" s="157"/>
      <c r="D496" s="1"/>
      <c r="E496" s="150"/>
      <c r="F496" s="150"/>
      <c r="G496" s="151"/>
      <c r="H496" s="150"/>
      <c r="I496" s="150"/>
      <c r="J496" s="151"/>
      <c r="K496" s="151"/>
      <c r="L496" s="150"/>
      <c r="M496" s="151"/>
      <c r="N496" s="151"/>
      <c r="O496" s="151"/>
      <c r="P496" s="150"/>
      <c r="Q496" s="150"/>
      <c r="R496" s="158"/>
      <c r="S496" s="158"/>
      <c r="T496" s="158"/>
      <c r="U496" s="158"/>
      <c r="V496" s="1"/>
      <c r="W496" s="1"/>
      <c r="X496" s="157"/>
      <c r="Y496" s="157"/>
      <c r="Z496" s="157"/>
      <c r="AA496" s="157"/>
      <c r="AB496" s="157"/>
      <c r="AC496" s="151"/>
      <c r="AD496" s="151"/>
      <c r="AE496" s="151"/>
      <c r="AF496" s="157"/>
      <c r="AG496" s="157"/>
      <c r="AH496" s="157"/>
      <c r="AI496" s="157"/>
      <c r="AJ496" s="157"/>
      <c r="AK496" s="157"/>
      <c r="AL496" s="157"/>
      <c r="AM496" s="157"/>
      <c r="AN496" s="159"/>
      <c r="AO496" s="159"/>
      <c r="AP496" s="160"/>
      <c r="AQ496" s="160"/>
      <c r="AR496" s="160"/>
      <c r="AS496" s="159"/>
      <c r="AT496" s="159"/>
      <c r="AU496" s="161"/>
      <c r="AV496" s="157"/>
      <c r="AW496" s="157"/>
      <c r="AX496" s="157"/>
      <c r="AY496" s="157"/>
      <c r="AZ496" s="157"/>
      <c r="BA496" s="157"/>
      <c r="BB496" s="157"/>
      <c r="BC496" s="151"/>
      <c r="BD496" s="157"/>
      <c r="BE496" s="157"/>
      <c r="BF496" s="157"/>
      <c r="BG496" s="157"/>
      <c r="BH496" s="157"/>
      <c r="BI496" s="157"/>
      <c r="BJ496" s="353"/>
      <c r="BK496" s="353"/>
      <c r="BL496" s="353"/>
      <c r="BM496" s="14"/>
      <c r="BN496" s="14"/>
      <c r="BO496" s="14"/>
    </row>
    <row r="497" spans="1:67" ht="20.100000000000001" customHeight="1">
      <c r="A497" s="157"/>
      <c r="B497" s="1"/>
      <c r="C497" s="157"/>
      <c r="D497" s="1"/>
      <c r="E497" s="150"/>
      <c r="F497" s="150"/>
      <c r="G497" s="151"/>
      <c r="H497" s="150"/>
      <c r="I497" s="150"/>
      <c r="J497" s="151"/>
      <c r="K497" s="151"/>
      <c r="L497" s="150"/>
      <c r="M497" s="151"/>
      <c r="N497" s="151"/>
      <c r="O497" s="151"/>
      <c r="P497" s="150"/>
      <c r="Q497" s="150"/>
      <c r="R497" s="158"/>
      <c r="S497" s="158"/>
      <c r="T497" s="158"/>
      <c r="U497" s="158"/>
      <c r="V497" s="1"/>
      <c r="W497" s="1"/>
      <c r="X497" s="157"/>
      <c r="Y497" s="157"/>
      <c r="Z497" s="157"/>
      <c r="AA497" s="157"/>
      <c r="AB497" s="157"/>
      <c r="AC497" s="151"/>
      <c r="AD497" s="151"/>
      <c r="AE497" s="151"/>
      <c r="AF497" s="157"/>
      <c r="AG497" s="157"/>
      <c r="AH497" s="157"/>
      <c r="AI497" s="157"/>
      <c r="AJ497" s="157"/>
      <c r="AK497" s="157"/>
      <c r="AL497" s="157"/>
      <c r="AM497" s="157"/>
      <c r="AN497" s="159"/>
      <c r="AO497" s="159"/>
      <c r="AP497" s="160"/>
      <c r="AQ497" s="160"/>
      <c r="AR497" s="160"/>
      <c r="AS497" s="159"/>
      <c r="AT497" s="159"/>
      <c r="AU497" s="161"/>
      <c r="AV497" s="157"/>
      <c r="AW497" s="157"/>
      <c r="AX497" s="157"/>
      <c r="AY497" s="157"/>
      <c r="AZ497" s="157"/>
      <c r="BA497" s="157"/>
      <c r="BB497" s="157"/>
      <c r="BC497" s="151"/>
      <c r="BD497" s="157"/>
      <c r="BE497" s="157"/>
      <c r="BF497" s="157"/>
      <c r="BG497" s="157"/>
      <c r="BH497" s="157"/>
      <c r="BI497" s="157"/>
      <c r="BJ497" s="353"/>
      <c r="BK497" s="353"/>
      <c r="BL497" s="353"/>
      <c r="BM497" s="14"/>
      <c r="BN497" s="14"/>
      <c r="BO497" s="14"/>
    </row>
    <row r="498" spans="1:67" ht="20.100000000000001" customHeight="1">
      <c r="A498" s="157"/>
      <c r="B498" s="1"/>
      <c r="C498" s="157"/>
      <c r="D498" s="1"/>
      <c r="E498" s="150"/>
      <c r="F498" s="150"/>
      <c r="G498" s="151"/>
      <c r="H498" s="150"/>
      <c r="I498" s="150"/>
      <c r="J498" s="151"/>
      <c r="K498" s="151"/>
      <c r="L498" s="150"/>
      <c r="M498" s="151"/>
      <c r="N498" s="151"/>
      <c r="O498" s="151"/>
      <c r="P498" s="150"/>
      <c r="Q498" s="150"/>
      <c r="R498" s="158"/>
      <c r="S498" s="158"/>
      <c r="T498" s="158"/>
      <c r="U498" s="158"/>
      <c r="V498" s="1"/>
      <c r="W498" s="1"/>
      <c r="X498" s="157"/>
      <c r="Y498" s="157"/>
      <c r="Z498" s="157"/>
      <c r="AA498" s="157"/>
      <c r="AB498" s="157"/>
      <c r="AC498" s="151"/>
      <c r="AD498" s="151"/>
      <c r="AE498" s="151"/>
      <c r="AF498" s="157"/>
      <c r="AG498" s="157"/>
      <c r="AH498" s="157"/>
      <c r="AI498" s="157"/>
      <c r="AJ498" s="157"/>
      <c r="AK498" s="157"/>
      <c r="AL498" s="157"/>
      <c r="AM498" s="157"/>
      <c r="AN498" s="159"/>
      <c r="AO498" s="159"/>
      <c r="AP498" s="160"/>
      <c r="AQ498" s="160"/>
      <c r="AR498" s="160"/>
      <c r="AS498" s="159"/>
      <c r="AT498" s="159"/>
      <c r="AU498" s="161"/>
      <c r="AV498" s="157"/>
      <c r="AW498" s="157"/>
      <c r="AX498" s="157"/>
      <c r="AY498" s="157"/>
      <c r="AZ498" s="157"/>
      <c r="BA498" s="157"/>
      <c r="BB498" s="157"/>
      <c r="BC498" s="151"/>
      <c r="BD498" s="157"/>
      <c r="BE498" s="157"/>
      <c r="BF498" s="157"/>
      <c r="BG498" s="157"/>
      <c r="BH498" s="157"/>
      <c r="BI498" s="157"/>
      <c r="BJ498" s="353"/>
      <c r="BK498" s="353"/>
      <c r="BL498" s="353"/>
      <c r="BM498" s="14"/>
      <c r="BN498" s="14"/>
      <c r="BO498" s="14"/>
    </row>
    <row r="499" spans="1:67" ht="20.100000000000001" customHeight="1">
      <c r="A499" s="157"/>
      <c r="B499" s="1"/>
      <c r="C499" s="157"/>
      <c r="D499" s="1"/>
      <c r="E499" s="150"/>
      <c r="F499" s="150"/>
      <c r="G499" s="151"/>
      <c r="H499" s="150"/>
      <c r="I499" s="150"/>
      <c r="J499" s="151"/>
      <c r="K499" s="151"/>
      <c r="L499" s="150"/>
      <c r="M499" s="151"/>
      <c r="N499" s="151"/>
      <c r="O499" s="151"/>
      <c r="P499" s="150"/>
      <c r="Q499" s="150"/>
      <c r="R499" s="158"/>
      <c r="S499" s="158"/>
      <c r="T499" s="158"/>
      <c r="U499" s="158"/>
      <c r="V499" s="1"/>
      <c r="W499" s="1"/>
      <c r="X499" s="157"/>
      <c r="Y499" s="157"/>
      <c r="Z499" s="157"/>
      <c r="AA499" s="157"/>
      <c r="AB499" s="157"/>
      <c r="AC499" s="151"/>
      <c r="AD499" s="151"/>
      <c r="AE499" s="151"/>
      <c r="AF499" s="157"/>
      <c r="AG499" s="157"/>
      <c r="AH499" s="157"/>
      <c r="AI499" s="157"/>
      <c r="AJ499" s="157"/>
      <c r="AK499" s="157"/>
      <c r="AL499" s="157"/>
      <c r="AM499" s="157"/>
      <c r="AN499" s="159"/>
      <c r="AO499" s="159"/>
      <c r="AP499" s="160"/>
      <c r="AQ499" s="160"/>
      <c r="AR499" s="160"/>
      <c r="AS499" s="159"/>
      <c r="AT499" s="159"/>
      <c r="AU499" s="161"/>
      <c r="AV499" s="157"/>
      <c r="AW499" s="157"/>
      <c r="AX499" s="157"/>
      <c r="AY499" s="157"/>
      <c r="AZ499" s="157"/>
      <c r="BA499" s="157"/>
      <c r="BB499" s="157"/>
      <c r="BC499" s="151"/>
      <c r="BD499" s="157"/>
      <c r="BE499" s="157"/>
      <c r="BF499" s="157"/>
      <c r="BG499" s="157"/>
      <c r="BH499" s="157"/>
      <c r="BI499" s="157"/>
      <c r="BJ499" s="353"/>
      <c r="BK499" s="353"/>
      <c r="BL499" s="353"/>
      <c r="BM499" s="14"/>
      <c r="BN499" s="14"/>
      <c r="BO499" s="14"/>
    </row>
    <row r="500" spans="1:67" ht="20.100000000000001" customHeight="1">
      <c r="A500" s="157"/>
      <c r="B500" s="1"/>
      <c r="C500" s="157"/>
      <c r="D500" s="1"/>
      <c r="E500" s="150"/>
      <c r="F500" s="150"/>
      <c r="G500" s="151"/>
      <c r="H500" s="150"/>
      <c r="I500" s="150"/>
      <c r="J500" s="151"/>
      <c r="K500" s="151"/>
      <c r="L500" s="150"/>
      <c r="M500" s="151"/>
      <c r="N500" s="151"/>
      <c r="O500" s="151"/>
      <c r="P500" s="150"/>
      <c r="Q500" s="150"/>
      <c r="R500" s="158"/>
      <c r="S500" s="158"/>
      <c r="T500" s="158"/>
      <c r="U500" s="158"/>
      <c r="V500" s="1"/>
      <c r="W500" s="1"/>
      <c r="X500" s="157"/>
      <c r="Y500" s="157"/>
      <c r="Z500" s="157"/>
      <c r="AA500" s="157"/>
      <c r="AB500" s="157"/>
      <c r="AC500" s="151"/>
      <c r="AD500" s="151"/>
      <c r="AE500" s="151"/>
      <c r="AF500" s="157"/>
      <c r="AG500" s="157"/>
      <c r="AH500" s="157"/>
      <c r="AI500" s="157"/>
      <c r="AJ500" s="157"/>
      <c r="AK500" s="157"/>
      <c r="AL500" s="157"/>
      <c r="AM500" s="157"/>
      <c r="AN500" s="159"/>
      <c r="AO500" s="159"/>
      <c r="AP500" s="160"/>
      <c r="AQ500" s="160"/>
      <c r="AR500" s="160"/>
      <c r="AS500" s="159"/>
      <c r="AT500" s="159"/>
      <c r="AU500" s="161"/>
      <c r="AV500" s="157"/>
      <c r="AW500" s="157"/>
      <c r="AX500" s="157"/>
      <c r="AY500" s="157"/>
      <c r="AZ500" s="157"/>
      <c r="BA500" s="157"/>
      <c r="BB500" s="157"/>
      <c r="BC500" s="151"/>
      <c r="BD500" s="157"/>
      <c r="BE500" s="157"/>
      <c r="BF500" s="157"/>
      <c r="BG500" s="157"/>
      <c r="BH500" s="157"/>
      <c r="BI500" s="157"/>
      <c r="BJ500" s="353"/>
      <c r="BK500" s="353"/>
      <c r="BL500" s="353"/>
      <c r="BM500" s="14"/>
      <c r="BN500" s="14"/>
      <c r="BO500" s="14"/>
    </row>
    <row r="501" spans="1:67" ht="20.100000000000001" customHeight="1">
      <c r="A501" s="157"/>
      <c r="B501" s="1"/>
      <c r="C501" s="157"/>
      <c r="D501" s="1"/>
      <c r="E501" s="150"/>
      <c r="F501" s="150"/>
      <c r="G501" s="151"/>
      <c r="H501" s="150"/>
      <c r="I501" s="150"/>
      <c r="J501" s="151"/>
      <c r="K501" s="151"/>
      <c r="L501" s="150"/>
      <c r="M501" s="151"/>
      <c r="N501" s="151"/>
      <c r="O501" s="151"/>
      <c r="P501" s="150"/>
      <c r="Q501" s="150"/>
      <c r="R501" s="158"/>
      <c r="S501" s="158"/>
      <c r="T501" s="158"/>
      <c r="U501" s="158"/>
      <c r="V501" s="1"/>
      <c r="W501" s="1"/>
      <c r="X501" s="157"/>
      <c r="Y501" s="157"/>
      <c r="Z501" s="157"/>
      <c r="AA501" s="157"/>
      <c r="AB501" s="157"/>
      <c r="AC501" s="151"/>
      <c r="AD501" s="151"/>
      <c r="AE501" s="151"/>
      <c r="AF501" s="157"/>
      <c r="AG501" s="157"/>
      <c r="AH501" s="157"/>
      <c r="AI501" s="157"/>
      <c r="AJ501" s="157"/>
      <c r="AK501" s="157"/>
      <c r="AL501" s="157"/>
      <c r="AM501" s="157"/>
      <c r="AN501" s="159"/>
      <c r="AO501" s="159"/>
      <c r="AP501" s="160"/>
      <c r="AQ501" s="160"/>
      <c r="AR501" s="160"/>
      <c r="AS501" s="159"/>
      <c r="AT501" s="159"/>
      <c r="AU501" s="161"/>
      <c r="AV501" s="157"/>
      <c r="AW501" s="157"/>
      <c r="AX501" s="157"/>
      <c r="AY501" s="157"/>
      <c r="AZ501" s="157"/>
      <c r="BA501" s="157"/>
      <c r="BB501" s="157"/>
      <c r="BC501" s="151"/>
      <c r="BD501" s="157"/>
      <c r="BE501" s="157"/>
      <c r="BF501" s="157"/>
      <c r="BG501" s="157"/>
      <c r="BH501" s="157"/>
      <c r="BI501" s="157"/>
      <c r="BJ501" s="353"/>
      <c r="BK501" s="353"/>
      <c r="BL501" s="353"/>
      <c r="BM501" s="14"/>
      <c r="BN501" s="14"/>
      <c r="BO501" s="14"/>
    </row>
    <row r="502" spans="1:67" ht="20.100000000000001" customHeight="1">
      <c r="A502" s="157"/>
      <c r="B502" s="1"/>
      <c r="C502" s="157"/>
      <c r="D502" s="1"/>
      <c r="E502" s="150"/>
      <c r="F502" s="150"/>
      <c r="G502" s="151"/>
      <c r="H502" s="150"/>
      <c r="I502" s="150"/>
      <c r="J502" s="151"/>
      <c r="K502" s="151"/>
      <c r="L502" s="150"/>
      <c r="M502" s="151"/>
      <c r="N502" s="151"/>
      <c r="O502" s="151"/>
      <c r="P502" s="150"/>
      <c r="Q502" s="150"/>
      <c r="R502" s="158"/>
      <c r="S502" s="158"/>
      <c r="T502" s="158"/>
      <c r="U502" s="158"/>
      <c r="V502" s="1"/>
      <c r="W502" s="1"/>
      <c r="X502" s="157"/>
      <c r="Y502" s="157"/>
      <c r="Z502" s="157"/>
      <c r="AA502" s="157"/>
      <c r="AB502" s="157"/>
      <c r="AC502" s="151"/>
      <c r="AD502" s="151"/>
      <c r="AE502" s="151"/>
      <c r="AF502" s="157"/>
      <c r="AG502" s="157"/>
      <c r="AH502" s="157"/>
      <c r="AI502" s="157"/>
      <c r="AJ502" s="157"/>
      <c r="AK502" s="157"/>
      <c r="AL502" s="157"/>
      <c r="AM502" s="157"/>
      <c r="AN502" s="159"/>
      <c r="AO502" s="159"/>
      <c r="AP502" s="160"/>
      <c r="AQ502" s="160"/>
      <c r="AR502" s="160"/>
      <c r="AS502" s="159"/>
      <c r="AT502" s="159"/>
      <c r="AU502" s="161"/>
      <c r="AV502" s="157"/>
      <c r="AW502" s="157"/>
      <c r="AX502" s="157"/>
      <c r="AY502" s="157"/>
      <c r="AZ502" s="157"/>
      <c r="BA502" s="157"/>
      <c r="BB502" s="157"/>
      <c r="BC502" s="151"/>
      <c r="BD502" s="157"/>
      <c r="BE502" s="157"/>
      <c r="BF502" s="157"/>
      <c r="BG502" s="157"/>
      <c r="BH502" s="157"/>
      <c r="BI502" s="157"/>
      <c r="BJ502" s="353"/>
      <c r="BK502" s="353"/>
      <c r="BL502" s="353"/>
      <c r="BM502" s="14"/>
      <c r="BN502" s="14"/>
      <c r="BO502" s="14"/>
    </row>
    <row r="503" spans="1:67" ht="20.100000000000001" customHeight="1">
      <c r="A503" s="157"/>
      <c r="B503" s="1"/>
      <c r="C503" s="157"/>
      <c r="D503" s="1"/>
      <c r="E503" s="150"/>
      <c r="F503" s="150"/>
      <c r="G503" s="151"/>
      <c r="H503" s="150"/>
      <c r="I503" s="150"/>
      <c r="J503" s="151"/>
      <c r="K503" s="151"/>
      <c r="L503" s="150"/>
      <c r="M503" s="151"/>
      <c r="N503" s="151"/>
      <c r="O503" s="151"/>
      <c r="P503" s="150"/>
      <c r="Q503" s="150"/>
      <c r="R503" s="158"/>
      <c r="S503" s="158"/>
      <c r="T503" s="158"/>
      <c r="U503" s="158"/>
      <c r="V503" s="1"/>
      <c r="W503" s="1"/>
      <c r="X503" s="157"/>
      <c r="Y503" s="157"/>
      <c r="Z503" s="157"/>
      <c r="AA503" s="157"/>
      <c r="AB503" s="157"/>
      <c r="AC503" s="151"/>
      <c r="AD503" s="151"/>
      <c r="AE503" s="151"/>
      <c r="AF503" s="157"/>
      <c r="AG503" s="157"/>
      <c r="AH503" s="157"/>
      <c r="AI503" s="157"/>
      <c r="AJ503" s="157"/>
      <c r="AK503" s="157"/>
      <c r="AL503" s="157"/>
      <c r="AM503" s="157"/>
      <c r="AN503" s="159"/>
      <c r="AO503" s="159"/>
      <c r="AP503" s="160"/>
      <c r="AQ503" s="160"/>
      <c r="AR503" s="160"/>
      <c r="AS503" s="159"/>
      <c r="AT503" s="159"/>
      <c r="AU503" s="161"/>
      <c r="AV503" s="157"/>
      <c r="AW503" s="157"/>
      <c r="AX503" s="157"/>
      <c r="AY503" s="157"/>
      <c r="AZ503" s="157"/>
      <c r="BA503" s="157"/>
      <c r="BB503" s="157"/>
      <c r="BC503" s="151"/>
      <c r="BD503" s="157"/>
      <c r="BE503" s="157"/>
      <c r="BF503" s="157"/>
      <c r="BG503" s="157"/>
      <c r="BH503" s="157"/>
      <c r="BI503" s="157"/>
      <c r="BJ503" s="353"/>
      <c r="BK503" s="353"/>
      <c r="BL503" s="353"/>
      <c r="BM503" s="14"/>
      <c r="BN503" s="14"/>
      <c r="BO503" s="14"/>
    </row>
    <row r="504" spans="1:67" ht="20.100000000000001" customHeight="1">
      <c r="A504" s="157"/>
      <c r="B504" s="1"/>
      <c r="C504" s="157"/>
      <c r="D504" s="1"/>
      <c r="E504" s="150"/>
      <c r="F504" s="150"/>
      <c r="G504" s="151"/>
      <c r="H504" s="150"/>
      <c r="I504" s="150"/>
      <c r="J504" s="151"/>
      <c r="K504" s="151"/>
      <c r="L504" s="150"/>
      <c r="M504" s="151"/>
      <c r="N504" s="151"/>
      <c r="O504" s="151"/>
      <c r="P504" s="150"/>
      <c r="Q504" s="150"/>
      <c r="R504" s="158"/>
      <c r="S504" s="158"/>
      <c r="T504" s="158"/>
      <c r="U504" s="158"/>
      <c r="V504" s="1"/>
      <c r="W504" s="1"/>
      <c r="X504" s="157"/>
      <c r="Y504" s="157"/>
      <c r="Z504" s="157"/>
      <c r="AA504" s="157"/>
      <c r="AB504" s="157"/>
      <c r="AC504" s="151"/>
      <c r="AD504" s="151"/>
      <c r="AE504" s="151"/>
      <c r="AF504" s="157"/>
      <c r="AG504" s="157"/>
      <c r="AH504" s="157"/>
      <c r="AI504" s="157"/>
      <c r="AJ504" s="157"/>
      <c r="AK504" s="157"/>
      <c r="AL504" s="157"/>
      <c r="AM504" s="157"/>
      <c r="AN504" s="159"/>
      <c r="AO504" s="159"/>
      <c r="AP504" s="160"/>
      <c r="AQ504" s="160"/>
      <c r="AR504" s="160"/>
      <c r="AS504" s="159"/>
      <c r="AT504" s="159"/>
      <c r="AU504" s="161"/>
      <c r="AV504" s="157"/>
      <c r="AW504" s="157"/>
      <c r="AX504" s="157"/>
      <c r="AY504" s="157"/>
      <c r="AZ504" s="157"/>
      <c r="BA504" s="157"/>
      <c r="BB504" s="157"/>
      <c r="BC504" s="151"/>
      <c r="BD504" s="157"/>
      <c r="BE504" s="157"/>
      <c r="BF504" s="157"/>
      <c r="BG504" s="157"/>
      <c r="BH504" s="157"/>
      <c r="BI504" s="157"/>
      <c r="BJ504" s="353"/>
      <c r="BK504" s="353"/>
      <c r="BL504" s="353"/>
      <c r="BM504" s="14"/>
      <c r="BN504" s="14"/>
      <c r="BO504" s="14"/>
    </row>
    <row r="505" spans="1:67" ht="20.100000000000001" customHeight="1">
      <c r="A505" s="157"/>
      <c r="B505" s="1"/>
      <c r="C505" s="157"/>
      <c r="D505" s="1"/>
      <c r="E505" s="150"/>
      <c r="F505" s="150"/>
      <c r="G505" s="151"/>
      <c r="H505" s="150"/>
      <c r="I505" s="150"/>
      <c r="J505" s="151"/>
      <c r="K505" s="151"/>
      <c r="L505" s="150"/>
      <c r="M505" s="151"/>
      <c r="N505" s="151"/>
      <c r="O505" s="151"/>
      <c r="P505" s="150"/>
      <c r="Q505" s="150"/>
      <c r="R505" s="158"/>
      <c r="S505" s="158"/>
      <c r="T505" s="158"/>
      <c r="U505" s="158"/>
      <c r="V505" s="1"/>
      <c r="W505" s="1"/>
      <c r="X505" s="157"/>
      <c r="Y505" s="157"/>
      <c r="Z505" s="157"/>
      <c r="AA505" s="157"/>
      <c r="AB505" s="157"/>
      <c r="AC505" s="151"/>
      <c r="AD505" s="151"/>
      <c r="AE505" s="151"/>
      <c r="AF505" s="157"/>
      <c r="AG505" s="157"/>
      <c r="AH505" s="157"/>
      <c r="AI505" s="157"/>
      <c r="AJ505" s="157"/>
      <c r="AK505" s="157"/>
      <c r="AL505" s="157"/>
      <c r="AM505" s="157"/>
      <c r="AN505" s="159"/>
      <c r="AO505" s="159"/>
      <c r="AP505" s="160"/>
      <c r="AQ505" s="160"/>
      <c r="AR505" s="160"/>
      <c r="AS505" s="159"/>
      <c r="AT505" s="159"/>
      <c r="AU505" s="161"/>
      <c r="AV505" s="157"/>
      <c r="AW505" s="157"/>
      <c r="AX505" s="157"/>
      <c r="AY505" s="157"/>
      <c r="AZ505" s="157"/>
      <c r="BA505" s="157"/>
      <c r="BB505" s="157"/>
      <c r="BC505" s="151"/>
      <c r="BD505" s="157"/>
      <c r="BE505" s="157"/>
      <c r="BF505" s="157"/>
      <c r="BG505" s="157"/>
      <c r="BH505" s="157"/>
      <c r="BI505" s="157"/>
      <c r="BJ505" s="353"/>
      <c r="BK505" s="353"/>
      <c r="BL505" s="353"/>
      <c r="BM505" s="14"/>
      <c r="BN505" s="14"/>
      <c r="BO505" s="14"/>
    </row>
    <row r="506" spans="1:67" ht="20.100000000000001" customHeight="1">
      <c r="A506" s="157"/>
      <c r="B506" s="1"/>
      <c r="C506" s="157"/>
      <c r="D506" s="1"/>
      <c r="E506" s="150"/>
      <c r="F506" s="150"/>
      <c r="G506" s="151"/>
      <c r="H506" s="150"/>
      <c r="I506" s="150"/>
      <c r="J506" s="151"/>
      <c r="K506" s="151"/>
      <c r="L506" s="150"/>
      <c r="M506" s="151"/>
      <c r="N506" s="151"/>
      <c r="O506" s="151"/>
      <c r="P506" s="150"/>
      <c r="Q506" s="150"/>
      <c r="R506" s="158"/>
      <c r="S506" s="158"/>
      <c r="T506" s="158"/>
      <c r="U506" s="158"/>
      <c r="V506" s="1"/>
      <c r="W506" s="1"/>
      <c r="X506" s="157"/>
      <c r="Y506" s="157"/>
      <c r="Z506" s="157"/>
      <c r="AA506" s="157"/>
      <c r="AB506" s="157"/>
      <c r="AC506" s="151"/>
      <c r="AD506" s="151"/>
      <c r="AE506" s="151"/>
      <c r="AF506" s="157"/>
      <c r="AG506" s="157"/>
      <c r="AH506" s="157"/>
      <c r="AI506" s="157"/>
      <c r="AJ506" s="157"/>
      <c r="AK506" s="157"/>
      <c r="AL506" s="157"/>
      <c r="AM506" s="157"/>
      <c r="AN506" s="159"/>
      <c r="AO506" s="159"/>
      <c r="AP506" s="160"/>
      <c r="AQ506" s="160"/>
      <c r="AR506" s="160"/>
      <c r="AS506" s="159"/>
      <c r="AT506" s="159"/>
      <c r="AU506" s="161"/>
      <c r="AV506" s="157"/>
      <c r="AW506" s="157"/>
      <c r="AX506" s="157"/>
      <c r="AY506" s="157"/>
      <c r="AZ506" s="157"/>
      <c r="BA506" s="157"/>
      <c r="BB506" s="157"/>
      <c r="BC506" s="151"/>
      <c r="BD506" s="157"/>
      <c r="BE506" s="157"/>
      <c r="BF506" s="157"/>
      <c r="BG506" s="157"/>
      <c r="BH506" s="157"/>
      <c r="BI506" s="157"/>
      <c r="BJ506" s="353"/>
      <c r="BK506" s="353"/>
      <c r="BL506" s="353"/>
      <c r="BM506" s="14"/>
      <c r="BN506" s="14"/>
      <c r="BO506" s="14"/>
    </row>
    <row r="507" spans="1:67" ht="20.100000000000001" customHeight="1">
      <c r="A507" s="157"/>
      <c r="B507" s="1"/>
      <c r="C507" s="157"/>
      <c r="D507" s="1"/>
      <c r="E507" s="150"/>
      <c r="F507" s="150"/>
      <c r="G507" s="151"/>
      <c r="H507" s="150"/>
      <c r="I507" s="150"/>
      <c r="J507" s="151"/>
      <c r="K507" s="151"/>
      <c r="L507" s="150"/>
      <c r="M507" s="151"/>
      <c r="N507" s="151"/>
      <c r="O507" s="151"/>
      <c r="P507" s="150"/>
      <c r="Q507" s="150"/>
      <c r="R507" s="158"/>
      <c r="S507" s="158"/>
      <c r="T507" s="158"/>
      <c r="U507" s="158"/>
      <c r="V507" s="1"/>
      <c r="W507" s="1"/>
      <c r="X507" s="157"/>
      <c r="Y507" s="157"/>
      <c r="Z507" s="157"/>
      <c r="AA507" s="157"/>
      <c r="AB507" s="157"/>
      <c r="AC507" s="151"/>
      <c r="AD507" s="151"/>
      <c r="AE507" s="151"/>
      <c r="AF507" s="157"/>
      <c r="AG507" s="157"/>
      <c r="AH507" s="157"/>
      <c r="AI507" s="157"/>
      <c r="AJ507" s="157"/>
      <c r="AK507" s="157"/>
      <c r="AL507" s="157"/>
      <c r="AM507" s="157"/>
      <c r="AN507" s="159"/>
      <c r="AO507" s="159"/>
      <c r="AP507" s="160"/>
      <c r="AQ507" s="160"/>
      <c r="AR507" s="160"/>
      <c r="AS507" s="159"/>
      <c r="AT507" s="159"/>
      <c r="AU507" s="161"/>
      <c r="AV507" s="157"/>
      <c r="AW507" s="157"/>
      <c r="AX507" s="157"/>
      <c r="AY507" s="157"/>
      <c r="AZ507" s="157"/>
      <c r="BA507" s="157"/>
      <c r="BB507" s="157"/>
      <c r="BC507" s="151"/>
      <c r="BD507" s="157"/>
      <c r="BE507" s="157"/>
      <c r="BF507" s="157"/>
      <c r="BG507" s="157"/>
      <c r="BH507" s="157"/>
      <c r="BI507" s="157"/>
      <c r="BJ507" s="353"/>
      <c r="BK507" s="353"/>
      <c r="BL507" s="353"/>
      <c r="BM507" s="14"/>
      <c r="BN507" s="14"/>
      <c r="BO507" s="14"/>
    </row>
    <row r="508" spans="1:67" ht="20.100000000000001" customHeight="1">
      <c r="A508" s="157"/>
      <c r="B508" s="1"/>
      <c r="C508" s="157"/>
      <c r="D508" s="1"/>
      <c r="E508" s="150"/>
      <c r="F508" s="150"/>
      <c r="G508" s="151"/>
      <c r="H508" s="150"/>
      <c r="I508" s="150"/>
      <c r="J508" s="151"/>
      <c r="K508" s="151"/>
      <c r="L508" s="150"/>
      <c r="M508" s="151"/>
      <c r="N508" s="151"/>
      <c r="O508" s="151"/>
      <c r="P508" s="150"/>
      <c r="Q508" s="150"/>
      <c r="R508" s="158"/>
      <c r="S508" s="158"/>
      <c r="T508" s="158"/>
      <c r="U508" s="158"/>
      <c r="V508" s="1"/>
      <c r="W508" s="1"/>
      <c r="X508" s="157"/>
      <c r="Y508" s="157"/>
      <c r="Z508" s="157"/>
      <c r="AA508" s="157"/>
      <c r="AB508" s="157"/>
      <c r="AC508" s="151"/>
      <c r="AD508" s="151"/>
      <c r="AE508" s="151"/>
      <c r="AF508" s="157"/>
      <c r="AG508" s="157"/>
      <c r="AH508" s="157"/>
      <c r="AI508" s="157"/>
      <c r="AJ508" s="157"/>
      <c r="AK508" s="157"/>
      <c r="AL508" s="157"/>
      <c r="AM508" s="157"/>
      <c r="AN508" s="159"/>
      <c r="AO508" s="159"/>
      <c r="AP508" s="160"/>
      <c r="AQ508" s="160"/>
      <c r="AR508" s="160"/>
      <c r="AS508" s="159"/>
      <c r="AT508" s="159"/>
      <c r="AU508" s="161"/>
      <c r="AV508" s="157"/>
      <c r="AW508" s="157"/>
      <c r="AX508" s="157"/>
      <c r="AY508" s="157"/>
      <c r="AZ508" s="157"/>
      <c r="BA508" s="157"/>
      <c r="BB508" s="157"/>
      <c r="BC508" s="151"/>
      <c r="BD508" s="157"/>
      <c r="BE508" s="157"/>
      <c r="BF508" s="157"/>
      <c r="BG508" s="157"/>
      <c r="BH508" s="157"/>
      <c r="BI508" s="157"/>
      <c r="BJ508" s="353"/>
      <c r="BK508" s="353"/>
      <c r="BL508" s="353"/>
      <c r="BM508" s="14"/>
      <c r="BN508" s="14"/>
      <c r="BO508" s="14"/>
    </row>
    <row r="509" spans="1:67" ht="20.100000000000001" customHeight="1">
      <c r="A509" s="157"/>
      <c r="B509" s="1"/>
      <c r="C509" s="157"/>
      <c r="D509" s="1"/>
      <c r="E509" s="150"/>
      <c r="F509" s="150"/>
      <c r="G509" s="151"/>
      <c r="H509" s="150"/>
      <c r="I509" s="150"/>
      <c r="J509" s="151"/>
      <c r="K509" s="151"/>
      <c r="L509" s="150"/>
      <c r="M509" s="151"/>
      <c r="N509" s="151"/>
      <c r="O509" s="151"/>
      <c r="P509" s="150"/>
      <c r="Q509" s="150"/>
      <c r="R509" s="158"/>
      <c r="S509" s="158"/>
      <c r="T509" s="158"/>
      <c r="U509" s="158"/>
      <c r="V509" s="1"/>
      <c r="W509" s="1"/>
      <c r="X509" s="157"/>
      <c r="Y509" s="157"/>
      <c r="Z509" s="157"/>
      <c r="AA509" s="157"/>
      <c r="AB509" s="157"/>
      <c r="AC509" s="151"/>
      <c r="AD509" s="151"/>
      <c r="AE509" s="151"/>
      <c r="AF509" s="157"/>
      <c r="AG509" s="157"/>
      <c r="AH509" s="157"/>
      <c r="AI509" s="157"/>
      <c r="AJ509" s="157"/>
      <c r="AK509" s="157"/>
      <c r="AL509" s="157"/>
      <c r="AM509" s="157"/>
      <c r="AN509" s="159"/>
      <c r="AO509" s="159"/>
      <c r="AP509" s="160"/>
      <c r="AQ509" s="160"/>
      <c r="AR509" s="160"/>
      <c r="AS509" s="159"/>
      <c r="AT509" s="159"/>
      <c r="AU509" s="161"/>
      <c r="AV509" s="157"/>
      <c r="AW509" s="157"/>
      <c r="AX509" s="157"/>
      <c r="AY509" s="157"/>
      <c r="AZ509" s="157"/>
      <c r="BA509" s="157"/>
      <c r="BB509" s="157"/>
      <c r="BC509" s="151"/>
      <c r="BD509" s="157"/>
      <c r="BE509" s="157"/>
      <c r="BF509" s="157"/>
      <c r="BG509" s="157"/>
      <c r="BH509" s="157"/>
      <c r="BI509" s="157"/>
      <c r="BJ509" s="353"/>
      <c r="BK509" s="353"/>
      <c r="BL509" s="353"/>
      <c r="BM509" s="14"/>
      <c r="BN509" s="14"/>
      <c r="BO509" s="14"/>
    </row>
    <row r="510" spans="1:67" ht="20.100000000000001" customHeight="1">
      <c r="A510" s="157"/>
      <c r="B510" s="1"/>
      <c r="C510" s="157"/>
      <c r="D510" s="1"/>
      <c r="E510" s="150"/>
      <c r="F510" s="150"/>
      <c r="G510" s="151"/>
      <c r="H510" s="150"/>
      <c r="I510" s="150"/>
      <c r="J510" s="151"/>
      <c r="K510" s="151"/>
      <c r="L510" s="150"/>
      <c r="M510" s="151"/>
      <c r="N510" s="151"/>
      <c r="O510" s="151"/>
      <c r="P510" s="150"/>
      <c r="Q510" s="150"/>
      <c r="R510" s="158"/>
      <c r="S510" s="158"/>
      <c r="T510" s="158"/>
      <c r="U510" s="158"/>
      <c r="V510" s="1"/>
      <c r="W510" s="1"/>
      <c r="X510" s="157"/>
      <c r="Y510" s="157"/>
      <c r="Z510" s="157"/>
      <c r="AA510" s="157"/>
      <c r="AB510" s="157"/>
      <c r="AC510" s="151"/>
      <c r="AD510" s="151"/>
      <c r="AE510" s="151"/>
      <c r="AF510" s="157"/>
      <c r="AG510" s="157"/>
      <c r="AH510" s="157"/>
      <c r="AI510" s="157"/>
      <c r="AJ510" s="157"/>
      <c r="AK510" s="157"/>
      <c r="AL510" s="157"/>
      <c r="AM510" s="157"/>
      <c r="AN510" s="159"/>
      <c r="AO510" s="159"/>
      <c r="AP510" s="160"/>
      <c r="AQ510" s="160"/>
      <c r="AR510" s="160"/>
      <c r="AS510" s="159"/>
      <c r="AT510" s="159"/>
      <c r="AU510" s="161"/>
      <c r="AV510" s="157"/>
      <c r="AW510" s="157"/>
      <c r="AX510" s="157"/>
      <c r="AY510" s="157"/>
      <c r="AZ510" s="157"/>
      <c r="BA510" s="157"/>
      <c r="BB510" s="157"/>
      <c r="BC510" s="151"/>
      <c r="BD510" s="157"/>
      <c r="BE510" s="157"/>
      <c r="BF510" s="157"/>
      <c r="BG510" s="157"/>
      <c r="BH510" s="157"/>
      <c r="BI510" s="157"/>
      <c r="BJ510" s="353"/>
      <c r="BK510" s="353"/>
      <c r="BL510" s="353"/>
      <c r="BM510" s="14"/>
      <c r="BN510" s="14"/>
      <c r="BO510" s="14"/>
    </row>
    <row r="511" spans="1:67" ht="20.100000000000001" customHeight="1">
      <c r="A511" s="157"/>
      <c r="B511" s="1"/>
      <c r="C511" s="157"/>
      <c r="D511" s="1"/>
      <c r="E511" s="150"/>
      <c r="F511" s="150"/>
      <c r="G511" s="151"/>
      <c r="H511" s="150"/>
      <c r="I511" s="150"/>
      <c r="J511" s="151"/>
      <c r="K511" s="151"/>
      <c r="L511" s="150"/>
      <c r="M511" s="151"/>
      <c r="N511" s="151"/>
      <c r="O511" s="151"/>
      <c r="P511" s="150"/>
      <c r="Q511" s="150"/>
      <c r="R511" s="158"/>
      <c r="S511" s="158"/>
      <c r="T511" s="158"/>
      <c r="U511" s="158"/>
      <c r="V511" s="1"/>
      <c r="W511" s="1"/>
      <c r="X511" s="157"/>
      <c r="Y511" s="157"/>
      <c r="Z511" s="157"/>
      <c r="AA511" s="157"/>
      <c r="AB511" s="157"/>
      <c r="AC511" s="151"/>
      <c r="AD511" s="151"/>
      <c r="AE511" s="151"/>
      <c r="AF511" s="157"/>
      <c r="AG511" s="157"/>
      <c r="AH511" s="157"/>
      <c r="AI511" s="157"/>
      <c r="AJ511" s="157"/>
      <c r="AK511" s="157"/>
      <c r="AL511" s="157"/>
      <c r="AM511" s="157"/>
      <c r="AN511" s="159"/>
      <c r="AO511" s="159"/>
      <c r="AP511" s="160"/>
      <c r="AQ511" s="160"/>
      <c r="AR511" s="160"/>
      <c r="AS511" s="159"/>
      <c r="AT511" s="159"/>
      <c r="AU511" s="161"/>
      <c r="AV511" s="157"/>
      <c r="AW511" s="157"/>
      <c r="AX511" s="157"/>
      <c r="AY511" s="157"/>
      <c r="AZ511" s="157"/>
      <c r="BA511" s="157"/>
      <c r="BB511" s="157"/>
      <c r="BC511" s="151"/>
      <c r="BD511" s="157"/>
      <c r="BE511" s="157"/>
      <c r="BF511" s="157"/>
      <c r="BG511" s="157"/>
      <c r="BH511" s="157"/>
      <c r="BI511" s="157"/>
      <c r="BJ511" s="353"/>
      <c r="BK511" s="353"/>
      <c r="BL511" s="353"/>
      <c r="BM511" s="14"/>
      <c r="BN511" s="14"/>
      <c r="BO511" s="14"/>
    </row>
    <row r="512" spans="1:67" ht="20.100000000000001" customHeight="1">
      <c r="A512" s="157"/>
      <c r="B512" s="1"/>
      <c r="C512" s="157"/>
      <c r="D512" s="1"/>
      <c r="E512" s="150"/>
      <c r="F512" s="150"/>
      <c r="G512" s="151"/>
      <c r="H512" s="150"/>
      <c r="I512" s="150"/>
      <c r="J512" s="151"/>
      <c r="K512" s="151"/>
      <c r="L512" s="150"/>
      <c r="M512" s="151"/>
      <c r="N512" s="151"/>
      <c r="O512" s="151"/>
      <c r="P512" s="150"/>
      <c r="Q512" s="150"/>
      <c r="R512" s="158"/>
      <c r="S512" s="158"/>
      <c r="T512" s="158"/>
      <c r="U512" s="158"/>
      <c r="V512" s="1"/>
      <c r="W512" s="1"/>
      <c r="X512" s="157"/>
      <c r="Y512" s="157"/>
      <c r="Z512" s="157"/>
      <c r="AA512" s="157"/>
      <c r="AB512" s="157"/>
      <c r="AC512" s="151"/>
      <c r="AD512" s="151"/>
      <c r="AE512" s="151"/>
      <c r="AF512" s="157"/>
      <c r="AG512" s="157"/>
      <c r="AH512" s="157"/>
      <c r="AI512" s="157"/>
      <c r="AJ512" s="157"/>
      <c r="AK512" s="157"/>
      <c r="AL512" s="157"/>
      <c r="AM512" s="157"/>
      <c r="AN512" s="159"/>
      <c r="AO512" s="159"/>
      <c r="AP512" s="160"/>
      <c r="AQ512" s="160"/>
      <c r="AR512" s="160"/>
      <c r="AS512" s="159"/>
      <c r="AT512" s="159"/>
      <c r="AU512" s="161"/>
      <c r="AV512" s="157"/>
      <c r="AW512" s="157"/>
      <c r="AX512" s="157"/>
      <c r="AY512" s="157"/>
      <c r="AZ512" s="157"/>
      <c r="BA512" s="157"/>
      <c r="BB512" s="157"/>
      <c r="BC512" s="151"/>
      <c r="BD512" s="157"/>
      <c r="BE512" s="157"/>
      <c r="BF512" s="157"/>
      <c r="BG512" s="157"/>
      <c r="BH512" s="157"/>
      <c r="BI512" s="157"/>
      <c r="BJ512" s="353"/>
      <c r="BK512" s="353"/>
      <c r="BL512" s="353"/>
      <c r="BM512" s="14"/>
      <c r="BN512" s="14"/>
      <c r="BO512" s="14"/>
    </row>
    <row r="513" spans="1:67" ht="20.100000000000001" customHeight="1">
      <c r="A513" s="157"/>
      <c r="B513" s="1"/>
      <c r="C513" s="157"/>
      <c r="D513" s="1"/>
      <c r="E513" s="150"/>
      <c r="F513" s="150"/>
      <c r="G513" s="151"/>
      <c r="H513" s="150"/>
      <c r="I513" s="150"/>
      <c r="J513" s="151"/>
      <c r="K513" s="151"/>
      <c r="L513" s="150"/>
      <c r="M513" s="151"/>
      <c r="N513" s="151"/>
      <c r="O513" s="151"/>
      <c r="P513" s="150"/>
      <c r="Q513" s="150"/>
      <c r="R513" s="158"/>
      <c r="S513" s="158"/>
      <c r="T513" s="158"/>
      <c r="U513" s="158"/>
      <c r="V513" s="1"/>
      <c r="W513" s="1"/>
      <c r="X513" s="157"/>
      <c r="Y513" s="157"/>
      <c r="Z513" s="157"/>
      <c r="AA513" s="157"/>
      <c r="AB513" s="157"/>
      <c r="AC513" s="151"/>
      <c r="AD513" s="151"/>
      <c r="AE513" s="151"/>
      <c r="AF513" s="157"/>
      <c r="AG513" s="157"/>
      <c r="AH513" s="157"/>
      <c r="AI513" s="157"/>
      <c r="AJ513" s="157"/>
      <c r="AK513" s="157"/>
      <c r="AL513" s="157"/>
      <c r="AM513" s="157"/>
      <c r="AN513" s="159"/>
      <c r="AO513" s="159"/>
      <c r="AP513" s="160"/>
      <c r="AQ513" s="160"/>
      <c r="AR513" s="160"/>
      <c r="AS513" s="159"/>
      <c r="AT513" s="159"/>
      <c r="AU513" s="161"/>
      <c r="AV513" s="157"/>
      <c r="AW513" s="157"/>
      <c r="AX513" s="157"/>
      <c r="AY513" s="157"/>
      <c r="AZ513" s="157"/>
      <c r="BA513" s="157"/>
      <c r="BB513" s="157"/>
      <c r="BC513" s="151"/>
      <c r="BD513" s="157"/>
      <c r="BE513" s="157"/>
      <c r="BF513" s="157"/>
      <c r="BG513" s="157"/>
      <c r="BH513" s="157"/>
      <c r="BI513" s="157"/>
      <c r="BJ513" s="353"/>
      <c r="BK513" s="353"/>
      <c r="BL513" s="353"/>
      <c r="BM513" s="14"/>
      <c r="BN513" s="14"/>
      <c r="BO513" s="14"/>
    </row>
    <row r="514" spans="1:67" ht="20.100000000000001" customHeight="1">
      <c r="A514" s="157"/>
      <c r="B514" s="1"/>
      <c r="C514" s="157"/>
      <c r="D514" s="1"/>
      <c r="E514" s="150"/>
      <c r="F514" s="150"/>
      <c r="G514" s="151"/>
      <c r="H514" s="150"/>
      <c r="I514" s="150"/>
      <c r="J514" s="151"/>
      <c r="K514" s="151"/>
      <c r="L514" s="150"/>
      <c r="M514" s="151"/>
      <c r="N514" s="151"/>
      <c r="O514" s="151"/>
      <c r="P514" s="150"/>
      <c r="Q514" s="150"/>
      <c r="R514" s="158"/>
      <c r="S514" s="158"/>
      <c r="T514" s="158"/>
      <c r="U514" s="158"/>
      <c r="V514" s="1"/>
      <c r="W514" s="1"/>
      <c r="X514" s="157"/>
      <c r="Y514" s="157"/>
      <c r="Z514" s="157"/>
      <c r="AA514" s="157"/>
      <c r="AB514" s="157"/>
      <c r="AC514" s="151"/>
      <c r="AD514" s="151"/>
      <c r="AE514" s="151"/>
      <c r="AF514" s="157"/>
      <c r="AG514" s="157"/>
      <c r="AH514" s="157"/>
      <c r="AI514" s="157"/>
      <c r="AJ514" s="157"/>
      <c r="AK514" s="157"/>
      <c r="AL514" s="157"/>
      <c r="AM514" s="157"/>
      <c r="AN514" s="159"/>
      <c r="AO514" s="159"/>
      <c r="AP514" s="160"/>
      <c r="AQ514" s="160"/>
      <c r="AR514" s="160"/>
      <c r="AS514" s="159"/>
      <c r="AT514" s="159"/>
      <c r="AU514" s="161"/>
      <c r="AV514" s="157"/>
      <c r="AW514" s="157"/>
      <c r="AX514" s="157"/>
      <c r="AY514" s="157"/>
      <c r="AZ514" s="157"/>
      <c r="BA514" s="157"/>
      <c r="BB514" s="157"/>
      <c r="BC514" s="151"/>
      <c r="BD514" s="157"/>
      <c r="BE514" s="157"/>
      <c r="BF514" s="157"/>
      <c r="BG514" s="157"/>
      <c r="BH514" s="157"/>
      <c r="BI514" s="157"/>
      <c r="BJ514" s="353"/>
      <c r="BK514" s="353"/>
      <c r="BL514" s="353"/>
      <c r="BM514" s="14"/>
      <c r="BN514" s="14"/>
      <c r="BO514" s="14"/>
    </row>
    <row r="515" spans="1:67" ht="20.100000000000001" customHeight="1">
      <c r="A515" s="157"/>
      <c r="B515" s="1"/>
      <c r="C515" s="157"/>
      <c r="D515" s="1"/>
      <c r="E515" s="150"/>
      <c r="F515" s="150"/>
      <c r="G515" s="151"/>
      <c r="H515" s="150"/>
      <c r="I515" s="150"/>
      <c r="J515" s="151"/>
      <c r="K515" s="151"/>
      <c r="L515" s="150"/>
      <c r="M515" s="151"/>
      <c r="N515" s="151"/>
      <c r="O515" s="151"/>
      <c r="P515" s="150"/>
      <c r="Q515" s="150"/>
      <c r="R515" s="158"/>
      <c r="S515" s="158"/>
      <c r="T515" s="158"/>
      <c r="U515" s="158"/>
      <c r="V515" s="1"/>
      <c r="W515" s="1"/>
      <c r="X515" s="157"/>
      <c r="Y515" s="157"/>
      <c r="Z515" s="157"/>
      <c r="AA515" s="157"/>
      <c r="AB515" s="157"/>
      <c r="AC515" s="151"/>
      <c r="AD515" s="151"/>
      <c r="AE515" s="151"/>
      <c r="AF515" s="157"/>
      <c r="AG515" s="157"/>
      <c r="AH515" s="157"/>
      <c r="AI515" s="157"/>
      <c r="AJ515" s="157"/>
      <c r="AK515" s="157"/>
      <c r="AL515" s="157"/>
      <c r="AM515" s="157"/>
      <c r="AN515" s="159"/>
      <c r="AO515" s="159"/>
      <c r="AP515" s="160"/>
      <c r="AQ515" s="160"/>
      <c r="AR515" s="160"/>
      <c r="AS515" s="159"/>
      <c r="AT515" s="159"/>
      <c r="AU515" s="161"/>
      <c r="AV515" s="157"/>
      <c r="AW515" s="157"/>
      <c r="AX515" s="157"/>
      <c r="AY515" s="157"/>
      <c r="AZ515" s="157"/>
      <c r="BA515" s="157"/>
      <c r="BB515" s="157"/>
      <c r="BC515" s="151"/>
      <c r="BD515" s="157"/>
      <c r="BE515" s="157"/>
      <c r="BF515" s="157"/>
      <c r="BG515" s="157"/>
      <c r="BH515" s="157"/>
      <c r="BI515" s="157"/>
      <c r="BJ515" s="353"/>
      <c r="BK515" s="353"/>
      <c r="BL515" s="353"/>
      <c r="BM515" s="14"/>
      <c r="BN515" s="14"/>
      <c r="BO515" s="14"/>
    </row>
    <row r="516" spans="1:67" ht="20.100000000000001" customHeight="1">
      <c r="A516" s="157"/>
      <c r="B516" s="1"/>
      <c r="C516" s="157"/>
      <c r="D516" s="1"/>
      <c r="E516" s="150"/>
      <c r="F516" s="150"/>
      <c r="G516" s="151"/>
      <c r="H516" s="150"/>
      <c r="I516" s="150"/>
      <c r="J516" s="151"/>
      <c r="K516" s="151"/>
      <c r="L516" s="150"/>
      <c r="M516" s="151"/>
      <c r="N516" s="151"/>
      <c r="O516" s="151"/>
      <c r="P516" s="150"/>
      <c r="Q516" s="150"/>
      <c r="R516" s="158"/>
      <c r="S516" s="158"/>
      <c r="T516" s="158"/>
      <c r="U516" s="158"/>
      <c r="V516" s="1"/>
      <c r="W516" s="1"/>
      <c r="X516" s="157"/>
      <c r="Y516" s="157"/>
      <c r="Z516" s="157"/>
      <c r="AA516" s="157"/>
      <c r="AB516" s="157"/>
      <c r="AC516" s="151"/>
      <c r="AD516" s="151"/>
      <c r="AE516" s="151"/>
      <c r="AF516" s="157"/>
      <c r="AG516" s="157"/>
      <c r="AH516" s="157"/>
      <c r="AI516" s="157"/>
      <c r="AJ516" s="157"/>
      <c r="AK516" s="157"/>
      <c r="AL516" s="157"/>
      <c r="AM516" s="157"/>
      <c r="AN516" s="159"/>
      <c r="AO516" s="159"/>
      <c r="AP516" s="160"/>
      <c r="AQ516" s="160"/>
      <c r="AR516" s="160"/>
      <c r="AS516" s="159"/>
      <c r="AT516" s="159"/>
      <c r="AU516" s="161"/>
      <c r="AV516" s="157"/>
      <c r="AW516" s="157"/>
      <c r="AX516" s="157"/>
      <c r="AY516" s="157"/>
      <c r="AZ516" s="157"/>
      <c r="BA516" s="157"/>
      <c r="BB516" s="157"/>
      <c r="BC516" s="151"/>
      <c r="BD516" s="157"/>
      <c r="BE516" s="157"/>
      <c r="BF516" s="157"/>
      <c r="BG516" s="157"/>
      <c r="BH516" s="157"/>
      <c r="BI516" s="157"/>
      <c r="BJ516" s="353"/>
      <c r="BK516" s="353"/>
      <c r="BL516" s="353"/>
      <c r="BM516" s="14"/>
      <c r="BN516" s="14"/>
      <c r="BO516" s="14"/>
    </row>
    <row r="517" spans="1:67" ht="20.100000000000001" customHeight="1">
      <c r="A517" s="157"/>
      <c r="B517" s="1"/>
      <c r="C517" s="157"/>
      <c r="D517" s="1"/>
      <c r="E517" s="150"/>
      <c r="F517" s="150"/>
      <c r="G517" s="151"/>
      <c r="H517" s="150"/>
      <c r="I517" s="150"/>
      <c r="J517" s="151"/>
      <c r="K517" s="151"/>
      <c r="L517" s="150"/>
      <c r="M517" s="151"/>
      <c r="N517" s="151"/>
      <c r="O517" s="151"/>
      <c r="P517" s="150"/>
      <c r="Q517" s="150"/>
      <c r="R517" s="158"/>
      <c r="S517" s="158"/>
      <c r="T517" s="158"/>
      <c r="U517" s="158"/>
      <c r="V517" s="1"/>
      <c r="W517" s="1"/>
      <c r="X517" s="157"/>
      <c r="Y517" s="157"/>
      <c r="Z517" s="157"/>
      <c r="AA517" s="157"/>
      <c r="AB517" s="157"/>
      <c r="AC517" s="151"/>
      <c r="AD517" s="151"/>
      <c r="AE517" s="151"/>
      <c r="AF517" s="157"/>
      <c r="AG517" s="157"/>
      <c r="AH517" s="157"/>
      <c r="AI517" s="157"/>
      <c r="AJ517" s="157"/>
      <c r="AK517" s="157"/>
      <c r="AL517" s="157"/>
      <c r="AM517" s="157"/>
      <c r="AN517" s="159"/>
      <c r="AO517" s="159"/>
      <c r="AP517" s="160"/>
      <c r="AQ517" s="160"/>
      <c r="AR517" s="160"/>
      <c r="AS517" s="159"/>
      <c r="AT517" s="159"/>
      <c r="AU517" s="161"/>
      <c r="AV517" s="157"/>
      <c r="AW517" s="157"/>
      <c r="AX517" s="157"/>
      <c r="AY517" s="157"/>
      <c r="AZ517" s="157"/>
      <c r="BA517" s="157"/>
      <c r="BB517" s="157"/>
      <c r="BC517" s="151"/>
      <c r="BD517" s="157"/>
      <c r="BE517" s="157"/>
      <c r="BF517" s="157"/>
      <c r="BG517" s="157"/>
      <c r="BH517" s="157"/>
      <c r="BI517" s="157"/>
      <c r="BJ517" s="353"/>
      <c r="BK517" s="353"/>
      <c r="BL517" s="353"/>
      <c r="BM517" s="14"/>
      <c r="BN517" s="14"/>
      <c r="BO517" s="14"/>
    </row>
    <row r="518" spans="1:67" ht="20.100000000000001" customHeight="1">
      <c r="A518" s="157"/>
      <c r="B518" s="1"/>
      <c r="C518" s="157"/>
      <c r="D518" s="1"/>
      <c r="E518" s="150"/>
      <c r="F518" s="150"/>
      <c r="G518" s="151"/>
      <c r="H518" s="150"/>
      <c r="I518" s="150"/>
      <c r="J518" s="151"/>
      <c r="K518" s="151"/>
      <c r="L518" s="150"/>
      <c r="M518" s="151"/>
      <c r="N518" s="151"/>
      <c r="O518" s="151"/>
      <c r="P518" s="150"/>
      <c r="Q518" s="150"/>
      <c r="R518" s="158"/>
      <c r="S518" s="158"/>
      <c r="T518" s="158"/>
      <c r="U518" s="158"/>
      <c r="V518" s="1"/>
      <c r="W518" s="1"/>
      <c r="X518" s="157"/>
      <c r="Y518" s="157"/>
      <c r="Z518" s="157"/>
      <c r="AA518" s="157"/>
      <c r="AB518" s="157"/>
      <c r="AC518" s="151"/>
      <c r="AD518" s="151"/>
      <c r="AE518" s="151"/>
      <c r="AF518" s="157"/>
      <c r="AG518" s="157"/>
      <c r="AH518" s="157"/>
      <c r="AI518" s="157"/>
      <c r="AJ518" s="157"/>
      <c r="AK518" s="157"/>
      <c r="AL518" s="157"/>
      <c r="AM518" s="157"/>
      <c r="AN518" s="159"/>
      <c r="AO518" s="159"/>
      <c r="AP518" s="160"/>
      <c r="AQ518" s="160"/>
      <c r="AR518" s="160"/>
      <c r="AS518" s="159"/>
      <c r="AT518" s="159"/>
      <c r="AU518" s="161"/>
      <c r="AV518" s="157"/>
      <c r="AW518" s="157"/>
      <c r="AX518" s="157"/>
      <c r="AY518" s="157"/>
      <c r="AZ518" s="157"/>
      <c r="BA518" s="157"/>
      <c r="BB518" s="157"/>
      <c r="BC518" s="151"/>
      <c r="BD518" s="157"/>
      <c r="BE518" s="157"/>
      <c r="BF518" s="157"/>
      <c r="BG518" s="157"/>
      <c r="BH518" s="157"/>
      <c r="BI518" s="157"/>
      <c r="BJ518" s="353"/>
      <c r="BK518" s="353"/>
      <c r="BL518" s="353"/>
      <c r="BM518" s="14"/>
      <c r="BN518" s="14"/>
      <c r="BO518" s="14"/>
    </row>
    <row r="519" spans="1:67" ht="20.100000000000001" customHeight="1">
      <c r="A519" s="157"/>
      <c r="B519" s="1"/>
      <c r="C519" s="157"/>
      <c r="D519" s="1"/>
      <c r="E519" s="150"/>
      <c r="F519" s="150"/>
      <c r="G519" s="151"/>
      <c r="H519" s="150"/>
      <c r="I519" s="150"/>
      <c r="J519" s="151"/>
      <c r="K519" s="151"/>
      <c r="L519" s="150"/>
      <c r="M519" s="151"/>
      <c r="N519" s="151"/>
      <c r="O519" s="151"/>
      <c r="P519" s="150"/>
      <c r="Q519" s="150"/>
      <c r="R519" s="158"/>
      <c r="S519" s="158"/>
      <c r="T519" s="158"/>
      <c r="U519" s="158"/>
      <c r="V519" s="1"/>
      <c r="W519" s="1"/>
      <c r="X519" s="157"/>
      <c r="Y519" s="157"/>
      <c r="Z519" s="157"/>
      <c r="AA519" s="157"/>
      <c r="AB519" s="157"/>
      <c r="AC519" s="151"/>
      <c r="AD519" s="151"/>
      <c r="AE519" s="151"/>
      <c r="AF519" s="157"/>
      <c r="AG519" s="157"/>
      <c r="AH519" s="157"/>
      <c r="AI519" s="157"/>
      <c r="AJ519" s="157"/>
      <c r="AK519" s="157"/>
      <c r="AL519" s="157"/>
      <c r="AM519" s="157"/>
      <c r="AN519" s="159"/>
      <c r="AO519" s="159"/>
      <c r="AP519" s="160"/>
      <c r="AQ519" s="160"/>
      <c r="AR519" s="160"/>
      <c r="AS519" s="159"/>
      <c r="AT519" s="159"/>
      <c r="AU519" s="161"/>
      <c r="AV519" s="157"/>
      <c r="AW519" s="157"/>
      <c r="AX519" s="157"/>
      <c r="AY519" s="157"/>
      <c r="AZ519" s="157"/>
      <c r="BA519" s="157"/>
      <c r="BB519" s="157"/>
      <c r="BC519" s="151"/>
      <c r="BD519" s="157"/>
      <c r="BE519" s="157"/>
      <c r="BF519" s="157"/>
      <c r="BG519" s="157"/>
      <c r="BH519" s="157"/>
      <c r="BI519" s="157"/>
      <c r="BJ519" s="353"/>
      <c r="BK519" s="353"/>
      <c r="BL519" s="353"/>
      <c r="BM519" s="14"/>
      <c r="BN519" s="14"/>
      <c r="BO519" s="14"/>
    </row>
    <row r="520" spans="1:67" ht="20.100000000000001" customHeight="1">
      <c r="A520" s="157"/>
      <c r="B520" s="1"/>
      <c r="C520" s="157"/>
      <c r="D520" s="1"/>
      <c r="E520" s="150"/>
      <c r="F520" s="150"/>
      <c r="G520" s="151"/>
      <c r="H520" s="150"/>
      <c r="I520" s="150"/>
      <c r="J520" s="151"/>
      <c r="K520" s="151"/>
      <c r="L520" s="150"/>
      <c r="M520" s="151"/>
      <c r="N520" s="151"/>
      <c r="O520" s="151"/>
      <c r="P520" s="150"/>
      <c r="Q520" s="150"/>
      <c r="R520" s="158"/>
      <c r="S520" s="158"/>
      <c r="T520" s="158"/>
      <c r="U520" s="158"/>
      <c r="V520" s="1"/>
      <c r="W520" s="1"/>
      <c r="X520" s="157"/>
      <c r="Y520" s="157"/>
      <c r="Z520" s="157"/>
      <c r="AA520" s="157"/>
      <c r="AB520" s="157"/>
      <c r="AC520" s="151"/>
      <c r="AD520" s="151"/>
      <c r="AE520" s="151"/>
      <c r="AF520" s="157"/>
      <c r="AG520" s="157"/>
      <c r="AH520" s="157"/>
      <c r="AI520" s="157"/>
      <c r="AJ520" s="157"/>
      <c r="AK520" s="157"/>
      <c r="AL520" s="157"/>
      <c r="AM520" s="157"/>
      <c r="AN520" s="159"/>
      <c r="AO520" s="159"/>
      <c r="AP520" s="160"/>
      <c r="AQ520" s="160"/>
      <c r="AR520" s="160"/>
      <c r="AS520" s="159"/>
      <c r="AT520" s="159"/>
      <c r="AU520" s="161"/>
      <c r="AV520" s="157"/>
      <c r="AW520" s="157"/>
      <c r="AX520" s="157"/>
      <c r="AY520" s="157"/>
      <c r="AZ520" s="157"/>
      <c r="BA520" s="157"/>
      <c r="BB520" s="157"/>
      <c r="BC520" s="151"/>
      <c r="BD520" s="157"/>
      <c r="BE520" s="157"/>
      <c r="BF520" s="157"/>
      <c r="BG520" s="157"/>
      <c r="BH520" s="157"/>
      <c r="BI520" s="157"/>
      <c r="BJ520" s="353"/>
      <c r="BK520" s="353"/>
      <c r="BL520" s="353"/>
      <c r="BM520" s="14"/>
      <c r="BN520" s="14"/>
      <c r="BO520" s="14"/>
    </row>
    <row r="521" spans="1:67" ht="20.100000000000001" customHeight="1">
      <c r="A521" s="157"/>
      <c r="B521" s="1"/>
      <c r="C521" s="157"/>
      <c r="D521" s="1"/>
      <c r="E521" s="150"/>
      <c r="F521" s="150"/>
      <c r="G521" s="151"/>
      <c r="H521" s="150"/>
      <c r="I521" s="150"/>
      <c r="J521" s="151"/>
      <c r="K521" s="151"/>
      <c r="L521" s="150"/>
      <c r="M521" s="151"/>
      <c r="N521" s="151"/>
      <c r="O521" s="151"/>
      <c r="P521" s="150"/>
      <c r="Q521" s="150"/>
      <c r="R521" s="158"/>
      <c r="S521" s="158"/>
      <c r="T521" s="158"/>
      <c r="U521" s="158"/>
      <c r="V521" s="1"/>
      <c r="W521" s="1"/>
      <c r="X521" s="157"/>
      <c r="Y521" s="157"/>
      <c r="Z521" s="157"/>
      <c r="AA521" s="157"/>
      <c r="AB521" s="157"/>
      <c r="AC521" s="151"/>
      <c r="AD521" s="151"/>
      <c r="AE521" s="151"/>
      <c r="AF521" s="157"/>
      <c r="AG521" s="157"/>
      <c r="AH521" s="157"/>
      <c r="AI521" s="157"/>
      <c r="AJ521" s="157"/>
      <c r="AK521" s="157"/>
      <c r="AL521" s="157"/>
      <c r="AM521" s="157"/>
      <c r="AN521" s="159"/>
      <c r="AO521" s="159"/>
      <c r="AP521" s="160"/>
      <c r="AQ521" s="160"/>
      <c r="AR521" s="160"/>
      <c r="AS521" s="159"/>
      <c r="AT521" s="159"/>
      <c r="AU521" s="161"/>
      <c r="AV521" s="157"/>
      <c r="AW521" s="157"/>
      <c r="AX521" s="157"/>
      <c r="AY521" s="157"/>
      <c r="AZ521" s="157"/>
      <c r="BA521" s="157"/>
      <c r="BB521" s="157"/>
      <c r="BC521" s="151"/>
      <c r="BD521" s="157"/>
      <c r="BE521" s="157"/>
      <c r="BF521" s="157"/>
      <c r="BG521" s="157"/>
      <c r="BH521" s="157"/>
      <c r="BI521" s="157"/>
      <c r="BJ521" s="353"/>
      <c r="BK521" s="353"/>
      <c r="BL521" s="353"/>
      <c r="BM521" s="14"/>
      <c r="BN521" s="14"/>
      <c r="BO521" s="14"/>
    </row>
    <row r="522" spans="1:67" ht="20.100000000000001" customHeight="1">
      <c r="A522" s="157"/>
      <c r="B522" s="1"/>
      <c r="C522" s="157"/>
      <c r="D522" s="1"/>
      <c r="E522" s="150"/>
      <c r="F522" s="150"/>
      <c r="G522" s="151"/>
      <c r="H522" s="150"/>
      <c r="I522" s="150"/>
      <c r="J522" s="151"/>
      <c r="K522" s="151"/>
      <c r="L522" s="150"/>
      <c r="M522" s="151"/>
      <c r="N522" s="151"/>
      <c r="O522" s="151"/>
      <c r="P522" s="150"/>
      <c r="Q522" s="150"/>
      <c r="R522" s="158"/>
      <c r="S522" s="158"/>
      <c r="T522" s="158"/>
      <c r="U522" s="158"/>
      <c r="V522" s="1"/>
      <c r="W522" s="1"/>
      <c r="X522" s="157"/>
      <c r="Y522" s="157"/>
      <c r="Z522" s="157"/>
      <c r="AA522" s="157"/>
      <c r="AB522" s="157"/>
      <c r="AC522" s="151"/>
      <c r="AD522" s="151"/>
      <c r="AE522" s="151"/>
      <c r="AF522" s="157"/>
      <c r="AG522" s="157"/>
      <c r="AH522" s="157"/>
      <c r="AI522" s="157"/>
      <c r="AJ522" s="157"/>
      <c r="AK522" s="157"/>
      <c r="AL522" s="157"/>
      <c r="AM522" s="157"/>
      <c r="AN522" s="159"/>
      <c r="AO522" s="159"/>
      <c r="AP522" s="160"/>
      <c r="AQ522" s="160"/>
      <c r="AR522" s="160"/>
      <c r="AS522" s="159"/>
      <c r="AT522" s="159"/>
      <c r="AU522" s="161"/>
      <c r="AV522" s="157"/>
      <c r="AW522" s="157"/>
      <c r="AX522" s="157"/>
      <c r="AY522" s="157"/>
      <c r="AZ522" s="157"/>
      <c r="BA522" s="157"/>
      <c r="BB522" s="157"/>
      <c r="BC522" s="151"/>
      <c r="BD522" s="157"/>
      <c r="BE522" s="157"/>
      <c r="BF522" s="157"/>
      <c r="BG522" s="157"/>
      <c r="BH522" s="157"/>
      <c r="BI522" s="157"/>
      <c r="BJ522" s="353"/>
      <c r="BK522" s="353"/>
      <c r="BL522" s="353"/>
      <c r="BM522" s="14"/>
      <c r="BN522" s="14"/>
      <c r="BO522" s="14"/>
    </row>
    <row r="523" spans="1:67" ht="20.100000000000001" customHeight="1">
      <c r="A523" s="157"/>
      <c r="B523" s="1"/>
      <c r="C523" s="157"/>
      <c r="D523" s="1"/>
      <c r="E523" s="150"/>
      <c r="F523" s="150"/>
      <c r="G523" s="151"/>
      <c r="H523" s="150"/>
      <c r="I523" s="150"/>
      <c r="J523" s="151"/>
      <c r="K523" s="151"/>
      <c r="L523" s="150"/>
      <c r="M523" s="151"/>
      <c r="N523" s="151"/>
      <c r="O523" s="151"/>
      <c r="P523" s="150"/>
      <c r="Q523" s="150"/>
      <c r="R523" s="158"/>
      <c r="S523" s="158"/>
      <c r="T523" s="158"/>
      <c r="U523" s="158"/>
      <c r="V523" s="1"/>
      <c r="W523" s="1"/>
      <c r="X523" s="157"/>
      <c r="Y523" s="157"/>
      <c r="Z523" s="157"/>
      <c r="AA523" s="157"/>
      <c r="AB523" s="157"/>
      <c r="AC523" s="151"/>
      <c r="AD523" s="151"/>
      <c r="AE523" s="151"/>
      <c r="AF523" s="157"/>
      <c r="AG523" s="157"/>
      <c r="AH523" s="157"/>
      <c r="AI523" s="157"/>
      <c r="AJ523" s="157"/>
      <c r="AK523" s="157"/>
      <c r="AL523" s="157"/>
      <c r="AM523" s="157"/>
      <c r="AN523" s="159"/>
      <c r="AO523" s="159"/>
      <c r="AP523" s="160"/>
      <c r="AQ523" s="160"/>
      <c r="AR523" s="160"/>
      <c r="AS523" s="159"/>
      <c r="AT523" s="159"/>
      <c r="AU523" s="161"/>
      <c r="AV523" s="157"/>
      <c r="AW523" s="157"/>
      <c r="AX523" s="157"/>
      <c r="AY523" s="157"/>
      <c r="AZ523" s="157"/>
      <c r="BA523" s="157"/>
      <c r="BB523" s="157"/>
      <c r="BC523" s="151"/>
      <c r="BD523" s="157"/>
      <c r="BE523" s="157"/>
      <c r="BF523" s="157"/>
      <c r="BG523" s="157"/>
      <c r="BH523" s="157"/>
      <c r="BI523" s="157"/>
      <c r="BJ523" s="353"/>
      <c r="BK523" s="353"/>
      <c r="BL523" s="353"/>
      <c r="BM523" s="14"/>
      <c r="BN523" s="14"/>
      <c r="BO523" s="14"/>
    </row>
    <row r="524" spans="1:67" ht="20.100000000000001" customHeight="1">
      <c r="A524" s="157"/>
      <c r="B524" s="1"/>
      <c r="C524" s="157"/>
      <c r="D524" s="1"/>
      <c r="E524" s="150"/>
      <c r="F524" s="150"/>
      <c r="G524" s="151"/>
      <c r="H524" s="150"/>
      <c r="I524" s="150"/>
      <c r="J524" s="151"/>
      <c r="K524" s="151"/>
      <c r="L524" s="150"/>
      <c r="M524" s="151"/>
      <c r="N524" s="151"/>
      <c r="O524" s="151"/>
      <c r="P524" s="150"/>
      <c r="Q524" s="150"/>
      <c r="R524" s="158"/>
      <c r="S524" s="158"/>
      <c r="T524" s="158"/>
      <c r="U524" s="158"/>
      <c r="V524" s="1"/>
      <c r="W524" s="1"/>
      <c r="X524" s="157"/>
      <c r="Y524" s="157"/>
      <c r="Z524" s="157"/>
      <c r="AA524" s="157"/>
      <c r="AB524" s="157"/>
      <c r="AC524" s="151"/>
      <c r="AD524" s="151"/>
      <c r="AE524" s="151"/>
      <c r="AF524" s="157"/>
      <c r="AG524" s="157"/>
      <c r="AH524" s="157"/>
      <c r="AI524" s="157"/>
      <c r="AJ524" s="157"/>
      <c r="AK524" s="157"/>
      <c r="AL524" s="157"/>
      <c r="AM524" s="157"/>
      <c r="AN524" s="159"/>
      <c r="AO524" s="159"/>
      <c r="AP524" s="160"/>
      <c r="AQ524" s="160"/>
      <c r="AR524" s="160"/>
      <c r="AS524" s="159"/>
      <c r="AT524" s="159"/>
      <c r="AU524" s="161"/>
      <c r="AV524" s="157"/>
      <c r="AW524" s="157"/>
      <c r="AX524" s="157"/>
      <c r="AY524" s="157"/>
      <c r="AZ524" s="157"/>
      <c r="BA524" s="157"/>
      <c r="BB524" s="157"/>
      <c r="BC524" s="151"/>
      <c r="BD524" s="157"/>
      <c r="BE524" s="157"/>
      <c r="BF524" s="157"/>
      <c r="BG524" s="157"/>
      <c r="BH524" s="157"/>
      <c r="BI524" s="157"/>
      <c r="BJ524" s="353"/>
      <c r="BK524" s="353"/>
      <c r="BL524" s="353"/>
      <c r="BM524" s="14"/>
      <c r="BN524" s="14"/>
      <c r="BO524" s="14"/>
    </row>
    <row r="525" spans="1:67" ht="20.100000000000001" customHeight="1">
      <c r="A525" s="157"/>
      <c r="B525" s="1"/>
      <c r="C525" s="157"/>
      <c r="D525" s="1"/>
      <c r="E525" s="150"/>
      <c r="F525" s="150"/>
      <c r="G525" s="151"/>
      <c r="H525" s="150"/>
      <c r="I525" s="150"/>
      <c r="J525" s="151"/>
      <c r="K525" s="151"/>
      <c r="L525" s="150"/>
      <c r="M525" s="151"/>
      <c r="N525" s="151"/>
      <c r="O525" s="151"/>
      <c r="P525" s="150"/>
      <c r="Q525" s="150"/>
      <c r="R525" s="158"/>
      <c r="S525" s="158"/>
      <c r="T525" s="158"/>
      <c r="U525" s="158"/>
      <c r="V525" s="1"/>
      <c r="W525" s="1"/>
      <c r="X525" s="157"/>
      <c r="Y525" s="157"/>
      <c r="Z525" s="157"/>
      <c r="AA525" s="157"/>
      <c r="AB525" s="157"/>
      <c r="AC525" s="151"/>
      <c r="AD525" s="151"/>
      <c r="AE525" s="151"/>
      <c r="AF525" s="157"/>
      <c r="AG525" s="157"/>
      <c r="AH525" s="157"/>
      <c r="AI525" s="157"/>
      <c r="AJ525" s="157"/>
      <c r="AK525" s="157"/>
      <c r="AL525" s="157"/>
      <c r="AM525" s="157"/>
      <c r="AN525" s="159"/>
      <c r="AO525" s="159"/>
      <c r="AP525" s="160"/>
      <c r="AQ525" s="160"/>
      <c r="AR525" s="160"/>
      <c r="AS525" s="159"/>
      <c r="AT525" s="159"/>
      <c r="AU525" s="161"/>
      <c r="AV525" s="157"/>
      <c r="AW525" s="157"/>
      <c r="AX525" s="157"/>
      <c r="AY525" s="157"/>
      <c r="AZ525" s="157"/>
      <c r="BA525" s="157"/>
      <c r="BB525" s="157"/>
      <c r="BC525" s="151"/>
      <c r="BD525" s="157"/>
      <c r="BE525" s="157"/>
      <c r="BF525" s="157"/>
      <c r="BG525" s="157"/>
      <c r="BH525" s="157"/>
      <c r="BI525" s="157"/>
      <c r="BJ525" s="353"/>
      <c r="BK525" s="353"/>
      <c r="BL525" s="353"/>
      <c r="BM525" s="14"/>
      <c r="BN525" s="14"/>
      <c r="BO525" s="14"/>
    </row>
    <row r="526" spans="1:67" ht="20.100000000000001" customHeight="1">
      <c r="A526" s="157"/>
      <c r="B526" s="1"/>
      <c r="C526" s="157"/>
      <c r="D526" s="1"/>
      <c r="E526" s="150"/>
      <c r="F526" s="150"/>
      <c r="G526" s="151"/>
      <c r="H526" s="150"/>
      <c r="I526" s="150"/>
      <c r="J526" s="151"/>
      <c r="K526" s="151"/>
      <c r="L526" s="150"/>
      <c r="M526" s="151"/>
      <c r="N526" s="151"/>
      <c r="O526" s="151"/>
      <c r="P526" s="150"/>
      <c r="Q526" s="150"/>
      <c r="R526" s="158"/>
      <c r="S526" s="158"/>
      <c r="T526" s="158"/>
      <c r="U526" s="158"/>
      <c r="V526" s="1"/>
      <c r="W526" s="1"/>
      <c r="X526" s="157"/>
      <c r="Y526" s="157"/>
      <c r="Z526" s="157"/>
      <c r="AA526" s="157"/>
      <c r="AB526" s="157"/>
      <c r="AC526" s="151"/>
      <c r="AD526" s="151"/>
      <c r="AE526" s="151"/>
      <c r="AF526" s="157"/>
      <c r="AG526" s="157"/>
      <c r="AH526" s="157"/>
      <c r="AI526" s="157"/>
      <c r="AJ526" s="157"/>
      <c r="AK526" s="157"/>
      <c r="AL526" s="157"/>
      <c r="AM526" s="157"/>
      <c r="AN526" s="159"/>
      <c r="AO526" s="159"/>
      <c r="AP526" s="160"/>
      <c r="AQ526" s="160"/>
      <c r="AR526" s="160"/>
      <c r="AS526" s="159"/>
      <c r="AT526" s="159"/>
      <c r="AU526" s="161"/>
      <c r="AV526" s="157"/>
      <c r="AW526" s="157"/>
      <c r="AX526" s="157"/>
      <c r="AY526" s="157"/>
      <c r="AZ526" s="157"/>
      <c r="BA526" s="157"/>
      <c r="BB526" s="157"/>
      <c r="BC526" s="151"/>
      <c r="BD526" s="157"/>
      <c r="BE526" s="157"/>
      <c r="BF526" s="157"/>
      <c r="BG526" s="157"/>
      <c r="BH526" s="157"/>
      <c r="BI526" s="157"/>
      <c r="BJ526" s="353"/>
      <c r="BK526" s="353"/>
      <c r="BL526" s="353"/>
      <c r="BM526" s="14"/>
      <c r="BN526" s="14"/>
      <c r="BO526" s="14"/>
    </row>
    <row r="527" spans="1:67" ht="20.100000000000001" customHeight="1">
      <c r="A527" s="157"/>
      <c r="B527" s="1"/>
      <c r="C527" s="157"/>
      <c r="D527" s="1"/>
      <c r="E527" s="150"/>
      <c r="F527" s="150"/>
      <c r="G527" s="151"/>
      <c r="H527" s="150"/>
      <c r="I527" s="150"/>
      <c r="J527" s="151"/>
      <c r="K527" s="151"/>
      <c r="L527" s="150"/>
      <c r="M527" s="151"/>
      <c r="N527" s="151"/>
      <c r="O527" s="151"/>
      <c r="P527" s="150"/>
      <c r="Q527" s="150"/>
      <c r="R527" s="158"/>
      <c r="S527" s="158"/>
      <c r="T527" s="158"/>
      <c r="U527" s="158"/>
      <c r="V527" s="1"/>
      <c r="W527" s="1"/>
      <c r="X527" s="157"/>
      <c r="Y527" s="157"/>
      <c r="Z527" s="157"/>
      <c r="AA527" s="157"/>
      <c r="AB527" s="157"/>
      <c r="AC527" s="151"/>
      <c r="AD527" s="151"/>
      <c r="AE527" s="151"/>
      <c r="AF527" s="157"/>
      <c r="AG527" s="157"/>
      <c r="AH527" s="157"/>
      <c r="AI527" s="157"/>
      <c r="AJ527" s="157"/>
      <c r="AK527" s="157"/>
      <c r="AL527" s="157"/>
      <c r="AM527" s="157"/>
      <c r="AN527" s="159"/>
      <c r="AO527" s="159"/>
      <c r="AP527" s="160"/>
      <c r="AQ527" s="160"/>
      <c r="AR527" s="160"/>
      <c r="AS527" s="159"/>
      <c r="AT527" s="159"/>
      <c r="AU527" s="161"/>
      <c r="AV527" s="157"/>
      <c r="AW527" s="157"/>
      <c r="AX527" s="157"/>
      <c r="AY527" s="157"/>
      <c r="AZ527" s="157"/>
      <c r="BA527" s="157"/>
      <c r="BB527" s="157"/>
      <c r="BC527" s="151"/>
      <c r="BD527" s="157"/>
      <c r="BE527" s="157"/>
      <c r="BF527" s="157"/>
      <c r="BG527" s="157"/>
      <c r="BH527" s="157"/>
      <c r="BI527" s="157"/>
      <c r="BJ527" s="353"/>
      <c r="BK527" s="353"/>
      <c r="BL527" s="353"/>
      <c r="BM527" s="14"/>
      <c r="BN527" s="14"/>
      <c r="BO527" s="14"/>
    </row>
    <row r="528" spans="1:67" ht="20.100000000000001" customHeight="1">
      <c r="A528" s="157"/>
      <c r="B528" s="1"/>
      <c r="C528" s="157"/>
      <c r="D528" s="1"/>
      <c r="E528" s="150"/>
      <c r="F528" s="150"/>
      <c r="G528" s="151"/>
      <c r="H528" s="150"/>
      <c r="I528" s="150"/>
      <c r="J528" s="151"/>
      <c r="K528" s="151"/>
      <c r="L528" s="150"/>
      <c r="M528" s="151"/>
      <c r="N528" s="151"/>
      <c r="O528" s="151"/>
      <c r="P528" s="150"/>
      <c r="Q528" s="150"/>
      <c r="R528" s="158"/>
      <c r="S528" s="158"/>
      <c r="T528" s="158"/>
      <c r="U528" s="158"/>
      <c r="V528" s="1"/>
      <c r="W528" s="1"/>
      <c r="X528" s="157"/>
      <c r="Y528" s="157"/>
      <c r="Z528" s="157"/>
      <c r="AA528" s="157"/>
      <c r="AB528" s="157"/>
      <c r="AC528" s="151"/>
      <c r="AD528" s="151"/>
      <c r="AE528" s="151"/>
      <c r="AF528" s="157"/>
      <c r="AG528" s="157"/>
      <c r="AH528" s="157"/>
      <c r="AI528" s="157"/>
      <c r="AJ528" s="157"/>
      <c r="AK528" s="157"/>
      <c r="AL528" s="157"/>
      <c r="AM528" s="157"/>
      <c r="AN528" s="159"/>
      <c r="AO528" s="159"/>
      <c r="AP528" s="160"/>
      <c r="AQ528" s="160"/>
      <c r="AR528" s="160"/>
      <c r="AS528" s="159"/>
      <c r="AT528" s="159"/>
      <c r="AU528" s="161"/>
      <c r="AV528" s="157"/>
      <c r="AW528" s="157"/>
      <c r="AX528" s="157"/>
      <c r="AY528" s="157"/>
      <c r="AZ528" s="157"/>
      <c r="BA528" s="157"/>
      <c r="BB528" s="157"/>
      <c r="BC528" s="151"/>
      <c r="BD528" s="157"/>
      <c r="BE528" s="157"/>
      <c r="BF528" s="157"/>
      <c r="BG528" s="157"/>
      <c r="BH528" s="157"/>
      <c r="BI528" s="157"/>
      <c r="BJ528" s="353"/>
      <c r="BK528" s="353"/>
      <c r="BL528" s="353"/>
      <c r="BM528" s="14"/>
      <c r="BN528" s="14"/>
      <c r="BO528" s="14"/>
    </row>
    <row r="529" spans="1:67" ht="20.100000000000001" customHeight="1">
      <c r="A529" s="157"/>
      <c r="B529" s="1"/>
      <c r="C529" s="157"/>
      <c r="D529" s="1"/>
      <c r="E529" s="150"/>
      <c r="F529" s="150"/>
      <c r="G529" s="151"/>
      <c r="H529" s="150"/>
      <c r="I529" s="150"/>
      <c r="J529" s="151"/>
      <c r="K529" s="151"/>
      <c r="L529" s="150"/>
      <c r="M529" s="151"/>
      <c r="N529" s="151"/>
      <c r="O529" s="151"/>
      <c r="P529" s="150"/>
      <c r="Q529" s="150"/>
      <c r="R529" s="158"/>
      <c r="S529" s="158"/>
      <c r="T529" s="158"/>
      <c r="U529" s="158"/>
      <c r="V529" s="1"/>
      <c r="W529" s="1"/>
      <c r="X529" s="157"/>
      <c r="Y529" s="157"/>
      <c r="Z529" s="157"/>
      <c r="AA529" s="157"/>
      <c r="AB529" s="157"/>
      <c r="AC529" s="151"/>
      <c r="AD529" s="151"/>
      <c r="AE529" s="151"/>
      <c r="AF529" s="157"/>
      <c r="AG529" s="157"/>
      <c r="AH529" s="157"/>
      <c r="AI529" s="157"/>
      <c r="AJ529" s="157"/>
      <c r="AK529" s="157"/>
      <c r="AL529" s="157"/>
      <c r="AM529" s="157"/>
      <c r="AN529" s="159"/>
      <c r="AO529" s="159"/>
      <c r="AP529" s="160"/>
      <c r="AQ529" s="160"/>
      <c r="AR529" s="160"/>
      <c r="AS529" s="159"/>
      <c r="AT529" s="159"/>
      <c r="AU529" s="161"/>
      <c r="AV529" s="157"/>
      <c r="AW529" s="157"/>
      <c r="AX529" s="157"/>
      <c r="AY529" s="157"/>
      <c r="AZ529" s="157"/>
      <c r="BA529" s="157"/>
      <c r="BB529" s="157"/>
      <c r="BC529" s="151"/>
      <c r="BD529" s="157"/>
      <c r="BE529" s="157"/>
      <c r="BF529" s="157"/>
      <c r="BG529" s="157"/>
      <c r="BH529" s="157"/>
      <c r="BI529" s="157"/>
      <c r="BJ529" s="353"/>
      <c r="BK529" s="353"/>
      <c r="BL529" s="353"/>
      <c r="BM529" s="14"/>
      <c r="BN529" s="14"/>
      <c r="BO529" s="14"/>
    </row>
    <row r="530" spans="1:67" ht="20.100000000000001" customHeight="1">
      <c r="A530" s="157"/>
      <c r="B530" s="1"/>
      <c r="C530" s="157"/>
      <c r="D530" s="1"/>
      <c r="E530" s="150"/>
      <c r="F530" s="150"/>
      <c r="G530" s="151"/>
      <c r="H530" s="150"/>
      <c r="I530" s="150"/>
      <c r="J530" s="151"/>
      <c r="K530" s="151"/>
      <c r="L530" s="150"/>
      <c r="M530" s="151"/>
      <c r="N530" s="151"/>
      <c r="O530" s="151"/>
      <c r="P530" s="150"/>
      <c r="Q530" s="150"/>
      <c r="R530" s="158"/>
      <c r="S530" s="158"/>
      <c r="T530" s="158"/>
      <c r="U530" s="158"/>
      <c r="V530" s="1"/>
      <c r="W530" s="1"/>
      <c r="X530" s="157"/>
      <c r="Y530" s="157"/>
      <c r="Z530" s="157"/>
      <c r="AA530" s="157"/>
      <c r="AB530" s="157"/>
      <c r="AC530" s="151"/>
      <c r="AD530" s="151"/>
      <c r="AE530" s="151"/>
      <c r="AF530" s="157"/>
      <c r="AG530" s="157"/>
      <c r="AH530" s="157"/>
      <c r="AI530" s="157"/>
      <c r="AJ530" s="157"/>
      <c r="AK530" s="157"/>
      <c r="AL530" s="157"/>
      <c r="AM530" s="157"/>
      <c r="AN530" s="159"/>
      <c r="AO530" s="159"/>
      <c r="AP530" s="160"/>
      <c r="AQ530" s="160"/>
      <c r="AR530" s="160"/>
      <c r="AS530" s="159"/>
      <c r="AT530" s="159"/>
      <c r="AU530" s="161"/>
      <c r="AV530" s="157"/>
      <c r="AW530" s="157"/>
      <c r="AX530" s="157"/>
      <c r="AY530" s="157"/>
      <c r="AZ530" s="157"/>
      <c r="BA530" s="157"/>
      <c r="BB530" s="157"/>
      <c r="BC530" s="151"/>
      <c r="BD530" s="157"/>
      <c r="BE530" s="157"/>
      <c r="BF530" s="157"/>
      <c r="BG530" s="157"/>
      <c r="BH530" s="157"/>
      <c r="BI530" s="157"/>
      <c r="BJ530" s="353"/>
      <c r="BK530" s="353"/>
      <c r="BL530" s="353"/>
      <c r="BM530" s="14"/>
      <c r="BN530" s="14"/>
      <c r="BO530" s="14"/>
    </row>
    <row r="531" spans="1:67" ht="20.100000000000001" customHeight="1">
      <c r="A531" s="157"/>
      <c r="B531" s="1"/>
      <c r="C531" s="157"/>
      <c r="D531" s="1"/>
      <c r="E531" s="150"/>
      <c r="F531" s="150"/>
      <c r="G531" s="151"/>
      <c r="H531" s="150"/>
      <c r="I531" s="150"/>
      <c r="J531" s="151"/>
      <c r="K531" s="151"/>
      <c r="L531" s="150"/>
      <c r="M531" s="151"/>
      <c r="N531" s="151"/>
      <c r="O531" s="151"/>
      <c r="P531" s="150"/>
      <c r="Q531" s="150"/>
      <c r="R531" s="158"/>
      <c r="S531" s="158"/>
      <c r="T531" s="158"/>
      <c r="U531" s="158"/>
      <c r="V531" s="1"/>
      <c r="W531" s="1"/>
      <c r="X531" s="157"/>
      <c r="Y531" s="157"/>
      <c r="Z531" s="157"/>
      <c r="AA531" s="157"/>
      <c r="AB531" s="157"/>
      <c r="AC531" s="151"/>
      <c r="AD531" s="151"/>
      <c r="AE531" s="151"/>
      <c r="AF531" s="157"/>
      <c r="AG531" s="157"/>
      <c r="AH531" s="157"/>
      <c r="AI531" s="157"/>
      <c r="AJ531" s="157"/>
      <c r="AK531" s="157"/>
      <c r="AL531" s="157"/>
      <c r="AM531" s="157"/>
      <c r="AN531" s="159"/>
      <c r="AO531" s="159"/>
      <c r="AP531" s="160"/>
      <c r="AQ531" s="160"/>
      <c r="AR531" s="160"/>
      <c r="AS531" s="159"/>
      <c r="AT531" s="159"/>
      <c r="AU531" s="161"/>
      <c r="AV531" s="157"/>
      <c r="AW531" s="157"/>
      <c r="AX531" s="157"/>
      <c r="AY531" s="157"/>
      <c r="AZ531" s="157"/>
      <c r="BA531" s="157"/>
      <c r="BB531" s="157"/>
      <c r="BC531" s="151"/>
      <c r="BD531" s="157"/>
      <c r="BE531" s="157"/>
      <c r="BF531" s="157"/>
      <c r="BG531" s="157"/>
      <c r="BH531" s="157"/>
      <c r="BI531" s="157"/>
      <c r="BJ531" s="353"/>
      <c r="BK531" s="353"/>
      <c r="BL531" s="353"/>
      <c r="BM531" s="14"/>
      <c r="BN531" s="14"/>
      <c r="BO531" s="14"/>
    </row>
    <row r="532" spans="1:67" ht="20.100000000000001" customHeight="1">
      <c r="A532" s="157"/>
      <c r="B532" s="1"/>
      <c r="C532" s="157"/>
      <c r="D532" s="1"/>
      <c r="E532" s="150"/>
      <c r="F532" s="150"/>
      <c r="G532" s="151"/>
      <c r="H532" s="150"/>
      <c r="I532" s="150"/>
      <c r="J532" s="151"/>
      <c r="K532" s="151"/>
      <c r="L532" s="150"/>
      <c r="M532" s="151"/>
      <c r="N532" s="151"/>
      <c r="O532" s="151"/>
      <c r="P532" s="150"/>
      <c r="Q532" s="150"/>
      <c r="R532" s="158"/>
      <c r="S532" s="158"/>
      <c r="T532" s="158"/>
      <c r="U532" s="158"/>
      <c r="V532" s="1"/>
      <c r="W532" s="1"/>
      <c r="X532" s="157"/>
      <c r="Y532" s="157"/>
      <c r="Z532" s="157"/>
      <c r="AA532" s="157"/>
      <c r="AB532" s="157"/>
      <c r="AC532" s="151"/>
      <c r="AD532" s="151"/>
      <c r="AE532" s="151"/>
      <c r="AF532" s="157"/>
      <c r="AG532" s="157"/>
      <c r="AH532" s="157"/>
      <c r="AI532" s="157"/>
      <c r="AJ532" s="157"/>
      <c r="AK532" s="157"/>
      <c r="AL532" s="157"/>
      <c r="AM532" s="157"/>
      <c r="AN532" s="159"/>
      <c r="AO532" s="159"/>
      <c r="AP532" s="160"/>
      <c r="AQ532" s="160"/>
      <c r="AR532" s="160"/>
      <c r="AS532" s="159"/>
      <c r="AT532" s="159"/>
      <c r="AU532" s="161"/>
      <c r="AV532" s="157"/>
      <c r="AW532" s="157"/>
      <c r="AX532" s="157"/>
      <c r="AY532" s="157"/>
      <c r="AZ532" s="157"/>
      <c r="BA532" s="157"/>
      <c r="BB532" s="157"/>
      <c r="BC532" s="151"/>
      <c r="BD532" s="157"/>
      <c r="BE532" s="157"/>
      <c r="BF532" s="157"/>
      <c r="BG532" s="157"/>
      <c r="BH532" s="157"/>
      <c r="BI532" s="157"/>
      <c r="BJ532" s="353"/>
      <c r="BK532" s="353"/>
      <c r="BL532" s="353"/>
      <c r="BM532" s="14"/>
      <c r="BN532" s="14"/>
      <c r="BO532" s="14"/>
    </row>
    <row r="533" spans="1:67" ht="20.100000000000001" customHeight="1">
      <c r="A533" s="157"/>
      <c r="B533" s="1"/>
      <c r="C533" s="157"/>
      <c r="D533" s="1"/>
      <c r="E533" s="150"/>
      <c r="F533" s="150"/>
      <c r="G533" s="151"/>
      <c r="H533" s="150"/>
      <c r="I533" s="150"/>
      <c r="J533" s="151"/>
      <c r="K533" s="151"/>
      <c r="L533" s="150"/>
      <c r="M533" s="151"/>
      <c r="N533" s="151"/>
      <c r="O533" s="151"/>
      <c r="P533" s="150"/>
      <c r="Q533" s="150"/>
      <c r="R533" s="158"/>
      <c r="S533" s="158"/>
      <c r="T533" s="158"/>
      <c r="U533" s="158"/>
      <c r="V533" s="1"/>
      <c r="W533" s="1"/>
      <c r="X533" s="157"/>
      <c r="Y533" s="157"/>
      <c r="Z533" s="157"/>
      <c r="AA533" s="157"/>
      <c r="AB533" s="157"/>
      <c r="AC533" s="151"/>
      <c r="AD533" s="151"/>
      <c r="AE533" s="151"/>
      <c r="AF533" s="157"/>
      <c r="AG533" s="157"/>
      <c r="AH533" s="157"/>
      <c r="AI533" s="157"/>
      <c r="AJ533" s="157"/>
      <c r="AK533" s="157"/>
      <c r="AL533" s="157"/>
      <c r="AM533" s="157"/>
      <c r="AN533" s="159"/>
      <c r="AO533" s="159"/>
      <c r="AP533" s="160"/>
      <c r="AQ533" s="160"/>
      <c r="AR533" s="160"/>
      <c r="AS533" s="159"/>
      <c r="AT533" s="159"/>
      <c r="AU533" s="161"/>
      <c r="AV533" s="157"/>
      <c r="AW533" s="157"/>
      <c r="AX533" s="157"/>
      <c r="AY533" s="157"/>
      <c r="AZ533" s="157"/>
      <c r="BA533" s="157"/>
      <c r="BB533" s="157"/>
      <c r="BC533" s="151"/>
      <c r="BD533" s="157"/>
      <c r="BE533" s="157"/>
      <c r="BF533" s="157"/>
      <c r="BG533" s="157"/>
      <c r="BH533" s="157"/>
      <c r="BI533" s="157"/>
      <c r="BJ533" s="353"/>
      <c r="BK533" s="353"/>
      <c r="BL533" s="353"/>
      <c r="BM533" s="14"/>
      <c r="BN533" s="14"/>
      <c r="BO533" s="14"/>
    </row>
    <row r="534" spans="1:67" ht="20.100000000000001" customHeight="1">
      <c r="A534" s="157"/>
      <c r="B534" s="1"/>
      <c r="C534" s="157"/>
      <c r="D534" s="1"/>
      <c r="E534" s="150"/>
      <c r="F534" s="150"/>
      <c r="G534" s="151"/>
      <c r="H534" s="150"/>
      <c r="I534" s="150"/>
      <c r="J534" s="151"/>
      <c r="K534" s="151"/>
      <c r="L534" s="150"/>
      <c r="M534" s="151"/>
      <c r="N534" s="151"/>
      <c r="O534" s="151"/>
      <c r="P534" s="150"/>
      <c r="Q534" s="150"/>
      <c r="R534" s="158"/>
      <c r="S534" s="158"/>
      <c r="T534" s="158"/>
      <c r="U534" s="158"/>
      <c r="V534" s="1"/>
      <c r="W534" s="1"/>
      <c r="X534" s="157"/>
      <c r="Y534" s="157"/>
      <c r="Z534" s="157"/>
      <c r="AA534" s="157"/>
      <c r="AB534" s="157"/>
      <c r="AC534" s="151"/>
      <c r="AD534" s="151"/>
      <c r="AE534" s="151"/>
      <c r="AF534" s="157"/>
      <c r="AG534" s="157"/>
      <c r="AH534" s="157"/>
      <c r="AI534" s="157"/>
      <c r="AJ534" s="157"/>
      <c r="AK534" s="157"/>
      <c r="AL534" s="157"/>
      <c r="AM534" s="157"/>
      <c r="AN534" s="159"/>
      <c r="AO534" s="159"/>
      <c r="AP534" s="160"/>
      <c r="AQ534" s="160"/>
      <c r="AR534" s="160"/>
      <c r="AS534" s="159"/>
      <c r="AT534" s="159"/>
      <c r="AU534" s="161"/>
      <c r="AV534" s="157"/>
      <c r="AW534" s="157"/>
      <c r="AX534" s="157"/>
      <c r="AY534" s="157"/>
      <c r="AZ534" s="157"/>
      <c r="BA534" s="157"/>
      <c r="BB534" s="157"/>
      <c r="BC534" s="151"/>
      <c r="BD534" s="157"/>
      <c r="BE534" s="157"/>
      <c r="BF534" s="157"/>
      <c r="BG534" s="157"/>
      <c r="BH534" s="157"/>
      <c r="BI534" s="157"/>
      <c r="BJ534" s="353"/>
      <c r="BK534" s="353"/>
      <c r="BL534" s="353"/>
      <c r="BM534" s="14"/>
      <c r="BN534" s="14"/>
      <c r="BO534" s="14"/>
    </row>
    <row r="535" spans="1:67" ht="20.100000000000001" customHeight="1">
      <c r="A535" s="157"/>
      <c r="B535" s="1"/>
      <c r="C535" s="157"/>
      <c r="D535" s="1"/>
      <c r="E535" s="150"/>
      <c r="F535" s="150"/>
      <c r="G535" s="151"/>
      <c r="H535" s="150"/>
      <c r="I535" s="150"/>
      <c r="J535" s="151"/>
      <c r="K535" s="151"/>
      <c r="L535" s="150"/>
      <c r="M535" s="151"/>
      <c r="N535" s="151"/>
      <c r="O535" s="151"/>
      <c r="P535" s="150"/>
      <c r="Q535" s="150"/>
      <c r="R535" s="158"/>
      <c r="S535" s="158"/>
      <c r="T535" s="158"/>
      <c r="U535" s="158"/>
      <c r="V535" s="1"/>
      <c r="W535" s="1"/>
      <c r="X535" s="157"/>
      <c r="Y535" s="157"/>
      <c r="Z535" s="157"/>
      <c r="AA535" s="157"/>
      <c r="AB535" s="157"/>
      <c r="AC535" s="151"/>
      <c r="AD535" s="151"/>
      <c r="AE535" s="151"/>
      <c r="AF535" s="157"/>
      <c r="AG535" s="157"/>
      <c r="AH535" s="157"/>
      <c r="AI535" s="157"/>
      <c r="AJ535" s="157"/>
      <c r="AK535" s="157"/>
      <c r="AL535" s="157"/>
      <c r="AM535" s="157"/>
      <c r="AN535" s="159"/>
      <c r="AO535" s="159"/>
      <c r="AP535" s="160"/>
      <c r="AQ535" s="160"/>
      <c r="AR535" s="160"/>
      <c r="AS535" s="159"/>
      <c r="AT535" s="159"/>
      <c r="AU535" s="161"/>
      <c r="AV535" s="157"/>
      <c r="AW535" s="157"/>
      <c r="AX535" s="157"/>
      <c r="AY535" s="157"/>
      <c r="AZ535" s="157"/>
      <c r="BA535" s="157"/>
      <c r="BB535" s="157"/>
      <c r="BC535" s="151"/>
      <c r="BD535" s="157"/>
      <c r="BE535" s="157"/>
      <c r="BF535" s="157"/>
      <c r="BG535" s="157"/>
      <c r="BH535" s="157"/>
      <c r="BI535" s="157"/>
      <c r="BJ535" s="353"/>
      <c r="BK535" s="353"/>
      <c r="BL535" s="353"/>
      <c r="BM535" s="14"/>
      <c r="BN535" s="14"/>
      <c r="BO535" s="14"/>
    </row>
    <row r="536" spans="1:67" ht="20.100000000000001" customHeight="1">
      <c r="A536" s="157"/>
      <c r="B536" s="1"/>
      <c r="C536" s="157"/>
      <c r="D536" s="1"/>
      <c r="E536" s="150"/>
      <c r="F536" s="150"/>
      <c r="G536" s="151"/>
      <c r="H536" s="150"/>
      <c r="I536" s="150"/>
      <c r="J536" s="151"/>
      <c r="K536" s="151"/>
      <c r="L536" s="150"/>
      <c r="M536" s="151"/>
      <c r="N536" s="151"/>
      <c r="O536" s="151"/>
      <c r="P536" s="150"/>
      <c r="Q536" s="150"/>
      <c r="R536" s="158"/>
      <c r="S536" s="158"/>
      <c r="T536" s="158"/>
      <c r="U536" s="158"/>
      <c r="V536" s="1"/>
      <c r="W536" s="1"/>
      <c r="X536" s="157"/>
      <c r="Y536" s="157"/>
      <c r="Z536" s="157"/>
      <c r="AA536" s="157"/>
      <c r="AB536" s="157"/>
      <c r="AC536" s="151"/>
      <c r="AD536" s="151"/>
      <c r="AE536" s="151"/>
      <c r="AF536" s="157"/>
      <c r="AG536" s="157"/>
      <c r="AH536" s="157"/>
      <c r="AI536" s="157"/>
      <c r="AJ536" s="157"/>
      <c r="AK536" s="157"/>
      <c r="AL536" s="157"/>
      <c r="AM536" s="157"/>
      <c r="AN536" s="159"/>
      <c r="AO536" s="159"/>
      <c r="AP536" s="160"/>
      <c r="AQ536" s="160"/>
      <c r="AR536" s="160"/>
      <c r="AS536" s="159"/>
      <c r="AT536" s="159"/>
      <c r="AU536" s="161"/>
      <c r="AV536" s="157"/>
      <c r="AW536" s="157"/>
      <c r="AX536" s="157"/>
      <c r="AY536" s="157"/>
      <c r="AZ536" s="157"/>
      <c r="BA536" s="157"/>
      <c r="BB536" s="157"/>
      <c r="BC536" s="151"/>
      <c r="BD536" s="157"/>
      <c r="BE536" s="157"/>
      <c r="BF536" s="157"/>
      <c r="BG536" s="157"/>
      <c r="BH536" s="157"/>
      <c r="BI536" s="157"/>
      <c r="BJ536" s="353"/>
      <c r="BK536" s="353"/>
      <c r="BL536" s="353"/>
      <c r="BM536" s="14"/>
      <c r="BN536" s="14"/>
      <c r="BO536" s="14"/>
    </row>
    <row r="537" spans="1:67" ht="20.100000000000001" customHeight="1">
      <c r="A537" s="157"/>
      <c r="B537" s="1"/>
      <c r="C537" s="157"/>
      <c r="D537" s="1"/>
      <c r="E537" s="150"/>
      <c r="F537" s="150"/>
      <c r="G537" s="151"/>
      <c r="H537" s="150"/>
      <c r="I537" s="150"/>
      <c r="J537" s="151"/>
      <c r="K537" s="151"/>
      <c r="L537" s="150"/>
      <c r="M537" s="151"/>
      <c r="N537" s="151"/>
      <c r="O537" s="151"/>
      <c r="P537" s="150"/>
      <c r="Q537" s="150"/>
      <c r="R537" s="158"/>
      <c r="S537" s="158"/>
      <c r="T537" s="158"/>
      <c r="U537" s="158"/>
      <c r="V537" s="1"/>
      <c r="W537" s="1"/>
      <c r="X537" s="157"/>
      <c r="Y537" s="157"/>
      <c r="Z537" s="157"/>
      <c r="AA537" s="157"/>
      <c r="AB537" s="157"/>
      <c r="AC537" s="151"/>
      <c r="AD537" s="151"/>
      <c r="AE537" s="151"/>
      <c r="AF537" s="157"/>
      <c r="AG537" s="157"/>
      <c r="AH537" s="157"/>
      <c r="AI537" s="157"/>
      <c r="AJ537" s="157"/>
      <c r="AK537" s="157"/>
      <c r="AL537" s="157"/>
      <c r="AM537" s="157"/>
      <c r="AN537" s="159"/>
      <c r="AO537" s="159"/>
      <c r="AP537" s="160"/>
      <c r="AQ537" s="160"/>
      <c r="AR537" s="160"/>
      <c r="AS537" s="159"/>
      <c r="AT537" s="159"/>
      <c r="AU537" s="161"/>
      <c r="AV537" s="157"/>
      <c r="AW537" s="157"/>
      <c r="AX537" s="157"/>
      <c r="AY537" s="157"/>
      <c r="AZ537" s="157"/>
      <c r="BA537" s="157"/>
      <c r="BB537" s="157"/>
      <c r="BC537" s="151"/>
      <c r="BD537" s="157"/>
      <c r="BE537" s="157"/>
      <c r="BF537" s="157"/>
      <c r="BG537" s="157"/>
      <c r="BH537" s="157"/>
      <c r="BI537" s="157"/>
      <c r="BJ537" s="353"/>
      <c r="BK537" s="353"/>
      <c r="BL537" s="353"/>
      <c r="BM537" s="14"/>
      <c r="BN537" s="14"/>
      <c r="BO537" s="14"/>
    </row>
    <row r="538" spans="1:67" ht="20.100000000000001" customHeight="1">
      <c r="A538" s="157"/>
      <c r="B538" s="1"/>
      <c r="C538" s="157"/>
      <c r="D538" s="1"/>
      <c r="E538" s="150"/>
      <c r="F538" s="150"/>
      <c r="G538" s="151"/>
      <c r="H538" s="150"/>
      <c r="I538" s="150"/>
      <c r="J538" s="151"/>
      <c r="K538" s="151"/>
      <c r="L538" s="150"/>
      <c r="M538" s="151"/>
      <c r="N538" s="151"/>
      <c r="O538" s="151"/>
      <c r="P538" s="150"/>
      <c r="Q538" s="150"/>
      <c r="R538" s="158"/>
      <c r="S538" s="158"/>
      <c r="T538" s="158"/>
      <c r="U538" s="158"/>
      <c r="V538" s="1"/>
      <c r="W538" s="1"/>
      <c r="X538" s="157"/>
      <c r="Y538" s="157"/>
      <c r="Z538" s="157"/>
      <c r="AA538" s="157"/>
      <c r="AB538" s="157"/>
      <c r="AC538" s="151"/>
      <c r="AD538" s="151"/>
      <c r="AE538" s="151"/>
      <c r="AF538" s="157"/>
      <c r="AG538" s="157"/>
      <c r="AH538" s="157"/>
      <c r="AI538" s="157"/>
      <c r="AJ538" s="157"/>
      <c r="AK538" s="157"/>
      <c r="AL538" s="157"/>
      <c r="AM538" s="157"/>
      <c r="AN538" s="159"/>
      <c r="AO538" s="159"/>
      <c r="AP538" s="160"/>
      <c r="AQ538" s="160"/>
      <c r="AR538" s="160"/>
      <c r="AS538" s="159"/>
      <c r="AT538" s="159"/>
      <c r="AU538" s="161"/>
      <c r="AV538" s="157"/>
      <c r="AW538" s="157"/>
      <c r="AX538" s="157"/>
      <c r="AY538" s="157"/>
      <c r="AZ538" s="157"/>
      <c r="BA538" s="157"/>
      <c r="BB538" s="157"/>
      <c r="BC538" s="151"/>
      <c r="BD538" s="157"/>
      <c r="BE538" s="157"/>
      <c r="BF538" s="157"/>
      <c r="BG538" s="157"/>
      <c r="BH538" s="157"/>
      <c r="BI538" s="157"/>
      <c r="BJ538" s="353"/>
      <c r="BK538" s="353"/>
      <c r="BL538" s="353"/>
      <c r="BM538" s="14"/>
      <c r="BN538" s="14"/>
      <c r="BO538" s="14"/>
    </row>
    <row r="539" spans="1:67" ht="20.100000000000001" customHeight="1">
      <c r="A539" s="157"/>
      <c r="B539" s="1"/>
      <c r="C539" s="157"/>
      <c r="D539" s="1"/>
      <c r="E539" s="150"/>
      <c r="F539" s="150"/>
      <c r="G539" s="151"/>
      <c r="H539" s="150"/>
      <c r="I539" s="150"/>
      <c r="J539" s="151"/>
      <c r="K539" s="151"/>
      <c r="L539" s="150"/>
      <c r="M539" s="151"/>
      <c r="N539" s="151"/>
      <c r="O539" s="151"/>
      <c r="P539" s="150"/>
      <c r="Q539" s="150"/>
      <c r="R539" s="158"/>
      <c r="S539" s="158"/>
      <c r="T539" s="158"/>
      <c r="U539" s="158"/>
      <c r="V539" s="1"/>
      <c r="W539" s="1"/>
      <c r="X539" s="157"/>
      <c r="Y539" s="157"/>
      <c r="Z539" s="157"/>
      <c r="AA539" s="157"/>
      <c r="AB539" s="157"/>
      <c r="AC539" s="151"/>
      <c r="AD539" s="151"/>
      <c r="AE539" s="151"/>
      <c r="AF539" s="157"/>
      <c r="AG539" s="157"/>
      <c r="AH539" s="157"/>
      <c r="AI539" s="157"/>
      <c r="AJ539" s="157"/>
      <c r="AK539" s="157"/>
      <c r="AL539" s="157"/>
      <c r="AM539" s="157"/>
      <c r="AN539" s="159"/>
      <c r="AO539" s="159"/>
      <c r="AP539" s="160"/>
      <c r="AQ539" s="160"/>
      <c r="AR539" s="160"/>
      <c r="AS539" s="159"/>
      <c r="AT539" s="159"/>
      <c r="AU539" s="161"/>
      <c r="AV539" s="157"/>
      <c r="AW539" s="157"/>
      <c r="AX539" s="157"/>
      <c r="AY539" s="157"/>
      <c r="AZ539" s="157"/>
      <c r="BA539" s="157"/>
      <c r="BB539" s="157"/>
      <c r="BC539" s="151"/>
      <c r="BD539" s="157"/>
      <c r="BE539" s="157"/>
      <c r="BF539" s="157"/>
      <c r="BG539" s="157"/>
      <c r="BH539" s="157"/>
      <c r="BI539" s="157"/>
      <c r="BJ539" s="353"/>
      <c r="BK539" s="353"/>
      <c r="BL539" s="353"/>
      <c r="BM539" s="14"/>
      <c r="BN539" s="14"/>
      <c r="BO539" s="14"/>
    </row>
    <row r="540" spans="1:67" ht="20.100000000000001" customHeight="1">
      <c r="A540" s="157"/>
      <c r="B540" s="1"/>
      <c r="C540" s="157"/>
      <c r="D540" s="1"/>
      <c r="E540" s="150"/>
      <c r="F540" s="150"/>
      <c r="G540" s="151"/>
      <c r="H540" s="150"/>
      <c r="I540" s="150"/>
      <c r="J540" s="151"/>
      <c r="K540" s="151"/>
      <c r="L540" s="150"/>
      <c r="M540" s="151"/>
      <c r="N540" s="151"/>
      <c r="O540" s="151"/>
      <c r="P540" s="150"/>
      <c r="Q540" s="150"/>
      <c r="R540" s="158"/>
      <c r="S540" s="158"/>
      <c r="T540" s="158"/>
      <c r="U540" s="158"/>
      <c r="V540" s="1"/>
      <c r="W540" s="1"/>
      <c r="X540" s="157"/>
      <c r="Y540" s="157"/>
      <c r="Z540" s="157"/>
      <c r="AA540" s="157"/>
      <c r="AB540" s="157"/>
      <c r="AC540" s="151"/>
      <c r="AD540" s="151"/>
      <c r="AE540" s="151"/>
      <c r="AF540" s="157"/>
      <c r="AG540" s="157"/>
      <c r="AH540" s="157"/>
      <c r="AI540" s="157"/>
      <c r="AJ540" s="157"/>
      <c r="AK540" s="157"/>
      <c r="AL540" s="157"/>
      <c r="AM540" s="157"/>
      <c r="AN540" s="159"/>
      <c r="AO540" s="159"/>
      <c r="AP540" s="160"/>
      <c r="AQ540" s="160"/>
      <c r="AR540" s="160"/>
      <c r="AS540" s="159"/>
      <c r="AT540" s="159"/>
      <c r="AU540" s="161"/>
      <c r="AV540" s="157"/>
      <c r="AW540" s="157"/>
      <c r="AX540" s="157"/>
      <c r="AY540" s="157"/>
      <c r="AZ540" s="157"/>
      <c r="BA540" s="157"/>
      <c r="BB540" s="157"/>
      <c r="BC540" s="151"/>
      <c r="BD540" s="157"/>
      <c r="BE540" s="157"/>
      <c r="BF540" s="157"/>
      <c r="BG540" s="157"/>
      <c r="BH540" s="157"/>
      <c r="BI540" s="157"/>
      <c r="BJ540" s="353"/>
      <c r="BK540" s="353"/>
      <c r="BL540" s="353"/>
      <c r="BM540" s="14"/>
      <c r="BN540" s="14"/>
      <c r="BO540" s="14"/>
    </row>
    <row r="541" spans="1:67" ht="20.100000000000001" customHeight="1">
      <c r="A541" s="157"/>
      <c r="B541" s="1"/>
      <c r="C541" s="157"/>
      <c r="D541" s="1"/>
      <c r="E541" s="150"/>
      <c r="F541" s="150"/>
      <c r="G541" s="151"/>
      <c r="H541" s="150"/>
      <c r="I541" s="150"/>
      <c r="J541" s="151"/>
      <c r="K541" s="151"/>
      <c r="L541" s="150"/>
      <c r="M541" s="151"/>
      <c r="N541" s="151"/>
      <c r="O541" s="151"/>
      <c r="P541" s="150"/>
      <c r="Q541" s="150"/>
      <c r="R541" s="158"/>
      <c r="S541" s="158"/>
      <c r="T541" s="158"/>
      <c r="U541" s="158"/>
      <c r="V541" s="1"/>
      <c r="W541" s="1"/>
      <c r="X541" s="157"/>
      <c r="Y541" s="157"/>
      <c r="Z541" s="157"/>
      <c r="AA541" s="157"/>
      <c r="AB541" s="157"/>
      <c r="AC541" s="151"/>
      <c r="AD541" s="151"/>
      <c r="AE541" s="151"/>
      <c r="AF541" s="157"/>
      <c r="AG541" s="157"/>
      <c r="AH541" s="157"/>
      <c r="AI541" s="157"/>
      <c r="AJ541" s="157"/>
      <c r="AK541" s="157"/>
      <c r="AL541" s="157"/>
      <c r="AM541" s="157"/>
      <c r="AN541" s="159"/>
      <c r="AO541" s="159"/>
      <c r="AP541" s="160"/>
      <c r="AQ541" s="160"/>
      <c r="AR541" s="160"/>
      <c r="AS541" s="159"/>
      <c r="AT541" s="159"/>
      <c r="AU541" s="161"/>
      <c r="AV541" s="157"/>
      <c r="AW541" s="157"/>
      <c r="AX541" s="157"/>
      <c r="AY541" s="157"/>
      <c r="AZ541" s="157"/>
      <c r="BA541" s="157"/>
      <c r="BB541" s="157"/>
      <c r="BC541" s="151"/>
      <c r="BD541" s="157"/>
      <c r="BE541" s="157"/>
      <c r="BF541" s="157"/>
      <c r="BG541" s="157"/>
      <c r="BH541" s="157"/>
      <c r="BI541" s="157"/>
      <c r="BJ541" s="353"/>
      <c r="BK541" s="353"/>
      <c r="BL541" s="353"/>
      <c r="BM541" s="14"/>
      <c r="BN541" s="14"/>
      <c r="BO541" s="14"/>
    </row>
    <row r="542" spans="1:67" ht="20.100000000000001" customHeight="1">
      <c r="A542" s="157"/>
      <c r="B542" s="1"/>
      <c r="C542" s="157"/>
      <c r="D542" s="1"/>
      <c r="E542" s="150"/>
      <c r="F542" s="150"/>
      <c r="G542" s="151"/>
      <c r="H542" s="150"/>
      <c r="I542" s="150"/>
      <c r="J542" s="151"/>
      <c r="K542" s="151"/>
      <c r="L542" s="150"/>
      <c r="M542" s="151"/>
      <c r="N542" s="151"/>
      <c r="O542" s="151"/>
      <c r="P542" s="150"/>
      <c r="Q542" s="150"/>
      <c r="R542" s="158"/>
      <c r="S542" s="158"/>
      <c r="T542" s="158"/>
      <c r="U542" s="158"/>
      <c r="V542" s="1"/>
      <c r="W542" s="1"/>
      <c r="X542" s="157"/>
      <c r="Y542" s="157"/>
      <c r="Z542" s="157"/>
      <c r="AA542" s="157"/>
      <c r="AB542" s="157"/>
      <c r="AC542" s="151"/>
      <c r="AD542" s="151"/>
      <c r="AE542" s="151"/>
      <c r="AF542" s="157"/>
      <c r="AG542" s="157"/>
      <c r="AH542" s="157"/>
      <c r="AI542" s="157"/>
      <c r="AJ542" s="157"/>
      <c r="AK542" s="157"/>
      <c r="AL542" s="157"/>
      <c r="AM542" s="157"/>
      <c r="AN542" s="159"/>
      <c r="AO542" s="159"/>
      <c r="AP542" s="160"/>
      <c r="AQ542" s="160"/>
      <c r="AR542" s="160"/>
      <c r="AS542" s="159"/>
      <c r="AT542" s="159"/>
      <c r="AU542" s="161"/>
      <c r="AV542" s="157"/>
      <c r="AW542" s="157"/>
      <c r="AX542" s="157"/>
      <c r="AY542" s="157"/>
      <c r="AZ542" s="157"/>
      <c r="BA542" s="157"/>
      <c r="BB542" s="157"/>
      <c r="BC542" s="151"/>
      <c r="BD542" s="157"/>
      <c r="BE542" s="157"/>
      <c r="BF542" s="157"/>
      <c r="BG542" s="157"/>
      <c r="BH542" s="157"/>
      <c r="BI542" s="157"/>
      <c r="BJ542" s="353"/>
      <c r="BK542" s="353"/>
      <c r="BL542" s="353"/>
      <c r="BM542" s="14"/>
      <c r="BN542" s="14"/>
      <c r="BO542" s="14"/>
    </row>
    <row r="543" spans="1:67" ht="20.100000000000001" customHeight="1">
      <c r="A543" s="157"/>
      <c r="B543" s="1"/>
      <c r="C543" s="157"/>
      <c r="D543" s="1"/>
      <c r="E543" s="150"/>
      <c r="F543" s="150"/>
      <c r="G543" s="151"/>
      <c r="H543" s="150"/>
      <c r="I543" s="150"/>
      <c r="J543" s="151"/>
      <c r="K543" s="151"/>
      <c r="L543" s="150"/>
      <c r="M543" s="151"/>
      <c r="N543" s="151"/>
      <c r="O543" s="151"/>
      <c r="P543" s="150"/>
      <c r="Q543" s="150"/>
      <c r="R543" s="158"/>
      <c r="S543" s="158"/>
      <c r="T543" s="158"/>
      <c r="U543" s="158"/>
      <c r="V543" s="1"/>
      <c r="W543" s="1"/>
      <c r="X543" s="157"/>
      <c r="Y543" s="157"/>
      <c r="Z543" s="157"/>
      <c r="AA543" s="157"/>
      <c r="AB543" s="157"/>
      <c r="AC543" s="151"/>
      <c r="AD543" s="151"/>
      <c r="AE543" s="151"/>
      <c r="AF543" s="157"/>
      <c r="AG543" s="157"/>
      <c r="AH543" s="157"/>
      <c r="AI543" s="157"/>
      <c r="AJ543" s="157"/>
      <c r="AK543" s="157"/>
      <c r="AL543" s="157"/>
      <c r="AM543" s="157"/>
      <c r="AN543" s="159"/>
      <c r="AO543" s="159"/>
      <c r="AP543" s="160"/>
      <c r="AQ543" s="160"/>
      <c r="AR543" s="160"/>
      <c r="AS543" s="159"/>
      <c r="AT543" s="159"/>
      <c r="AU543" s="161"/>
      <c r="AV543" s="157"/>
      <c r="AW543" s="157"/>
      <c r="AX543" s="157"/>
      <c r="AY543" s="157"/>
      <c r="AZ543" s="157"/>
      <c r="BA543" s="157"/>
      <c r="BB543" s="157"/>
      <c r="BC543" s="151"/>
      <c r="BD543" s="157"/>
      <c r="BE543" s="157"/>
      <c r="BF543" s="157"/>
      <c r="BG543" s="157"/>
      <c r="BH543" s="157"/>
      <c r="BI543" s="157"/>
      <c r="BJ543" s="353"/>
      <c r="BK543" s="353"/>
      <c r="BL543" s="353"/>
      <c r="BM543" s="14"/>
      <c r="BN543" s="14"/>
      <c r="BO543" s="14"/>
    </row>
    <row r="544" spans="1:67" ht="20.100000000000001" customHeight="1">
      <c r="A544" s="157"/>
      <c r="B544" s="1"/>
      <c r="C544" s="157"/>
      <c r="D544" s="1"/>
      <c r="E544" s="150"/>
      <c r="F544" s="150"/>
      <c r="G544" s="151"/>
      <c r="H544" s="150"/>
      <c r="I544" s="150"/>
      <c r="J544" s="151"/>
      <c r="K544" s="151"/>
      <c r="L544" s="150"/>
      <c r="M544" s="151"/>
      <c r="N544" s="151"/>
      <c r="O544" s="151"/>
      <c r="P544" s="150"/>
      <c r="Q544" s="150"/>
      <c r="R544" s="158"/>
      <c r="S544" s="158"/>
      <c r="T544" s="158"/>
      <c r="U544" s="158"/>
      <c r="V544" s="1"/>
      <c r="W544" s="1"/>
      <c r="X544" s="157"/>
      <c r="Y544" s="157"/>
      <c r="Z544" s="157"/>
      <c r="AA544" s="157"/>
      <c r="AB544" s="157"/>
      <c r="AC544" s="151"/>
      <c r="AD544" s="151"/>
      <c r="AE544" s="151"/>
      <c r="AF544" s="157"/>
      <c r="AG544" s="157"/>
      <c r="AH544" s="157"/>
      <c r="AI544" s="157"/>
      <c r="AJ544" s="157"/>
      <c r="AK544" s="157"/>
      <c r="AL544" s="157"/>
      <c r="AM544" s="157"/>
      <c r="AN544" s="159"/>
      <c r="AO544" s="159"/>
      <c r="AP544" s="160"/>
      <c r="AQ544" s="160"/>
      <c r="AR544" s="160"/>
      <c r="AS544" s="159"/>
      <c r="AT544" s="159"/>
      <c r="AU544" s="161"/>
      <c r="AV544" s="157"/>
      <c r="AW544" s="157"/>
      <c r="AX544" s="157"/>
      <c r="AY544" s="157"/>
      <c r="AZ544" s="157"/>
      <c r="BA544" s="157"/>
      <c r="BB544" s="157"/>
      <c r="BC544" s="151"/>
      <c r="BD544" s="157"/>
      <c r="BE544" s="157"/>
      <c r="BF544" s="157"/>
      <c r="BG544" s="157"/>
      <c r="BH544" s="157"/>
      <c r="BI544" s="157"/>
      <c r="BJ544" s="353"/>
      <c r="BK544" s="353"/>
      <c r="BL544" s="353"/>
      <c r="BM544" s="14"/>
      <c r="BN544" s="14"/>
      <c r="BO544" s="14"/>
    </row>
    <row r="545" spans="1:67" ht="20.100000000000001" customHeight="1">
      <c r="A545" s="157"/>
      <c r="B545" s="1"/>
      <c r="C545" s="157"/>
      <c r="D545" s="1"/>
      <c r="E545" s="150"/>
      <c r="F545" s="150"/>
      <c r="G545" s="151"/>
      <c r="H545" s="150"/>
      <c r="I545" s="150"/>
      <c r="J545" s="151"/>
      <c r="K545" s="151"/>
      <c r="L545" s="150"/>
      <c r="M545" s="151"/>
      <c r="N545" s="151"/>
      <c r="O545" s="151"/>
      <c r="P545" s="150"/>
      <c r="Q545" s="150"/>
      <c r="R545" s="158"/>
      <c r="S545" s="158"/>
      <c r="T545" s="158"/>
      <c r="U545" s="158"/>
      <c r="V545" s="1"/>
      <c r="W545" s="1"/>
      <c r="X545" s="157"/>
      <c r="Y545" s="157"/>
      <c r="Z545" s="157"/>
      <c r="AA545" s="157"/>
      <c r="AB545" s="157"/>
      <c r="AC545" s="151"/>
      <c r="AD545" s="151"/>
      <c r="AE545" s="151"/>
      <c r="AF545" s="157"/>
      <c r="AG545" s="157"/>
      <c r="AH545" s="157"/>
      <c r="AI545" s="157"/>
      <c r="AJ545" s="157"/>
      <c r="AK545" s="157"/>
      <c r="AL545" s="157"/>
      <c r="AM545" s="157"/>
      <c r="AN545" s="159"/>
      <c r="AO545" s="159"/>
      <c r="AP545" s="160"/>
      <c r="AQ545" s="160"/>
      <c r="AR545" s="160"/>
      <c r="AS545" s="159"/>
      <c r="AT545" s="159"/>
      <c r="AU545" s="161"/>
      <c r="AV545" s="157"/>
      <c r="AW545" s="157"/>
      <c r="AX545" s="157"/>
      <c r="AY545" s="157"/>
      <c r="AZ545" s="157"/>
      <c r="BA545" s="157"/>
      <c r="BB545" s="157"/>
      <c r="BC545" s="151"/>
      <c r="BD545" s="157"/>
      <c r="BE545" s="157"/>
      <c r="BF545" s="157"/>
      <c r="BG545" s="157"/>
      <c r="BH545" s="157"/>
      <c r="BI545" s="157"/>
      <c r="BJ545" s="353"/>
      <c r="BK545" s="353"/>
      <c r="BL545" s="353"/>
      <c r="BM545" s="14"/>
      <c r="BN545" s="14"/>
      <c r="BO545" s="14"/>
    </row>
    <row r="546" spans="1:67" ht="20.100000000000001" customHeight="1">
      <c r="A546" s="157"/>
      <c r="B546" s="1"/>
      <c r="C546" s="157"/>
      <c r="D546" s="1"/>
      <c r="E546" s="150"/>
      <c r="F546" s="150"/>
      <c r="G546" s="151"/>
      <c r="H546" s="150"/>
      <c r="I546" s="150"/>
      <c r="J546" s="151"/>
      <c r="K546" s="151"/>
      <c r="L546" s="150"/>
      <c r="M546" s="151"/>
      <c r="N546" s="151"/>
      <c r="O546" s="151"/>
      <c r="P546" s="150"/>
      <c r="Q546" s="150"/>
      <c r="R546" s="158"/>
      <c r="S546" s="158"/>
      <c r="T546" s="158"/>
      <c r="U546" s="158"/>
      <c r="V546" s="1"/>
      <c r="W546" s="1"/>
      <c r="X546" s="157"/>
      <c r="Y546" s="157"/>
      <c r="Z546" s="157"/>
      <c r="AA546" s="157"/>
      <c r="AB546" s="157"/>
      <c r="AC546" s="151"/>
      <c r="AD546" s="151"/>
      <c r="AE546" s="151"/>
      <c r="AF546" s="157"/>
      <c r="AG546" s="157"/>
      <c r="AH546" s="157"/>
      <c r="AI546" s="157"/>
      <c r="AJ546" s="157"/>
      <c r="AK546" s="157"/>
      <c r="AL546" s="157"/>
      <c r="AM546" s="157"/>
      <c r="AN546" s="159"/>
      <c r="AO546" s="159"/>
      <c r="AP546" s="160"/>
      <c r="AQ546" s="160"/>
      <c r="AR546" s="160"/>
      <c r="AS546" s="159"/>
      <c r="AT546" s="159"/>
      <c r="AU546" s="161"/>
      <c r="AV546" s="157"/>
      <c r="AW546" s="157"/>
      <c r="AX546" s="157"/>
      <c r="AY546" s="157"/>
      <c r="AZ546" s="157"/>
      <c r="BA546" s="157"/>
      <c r="BB546" s="157"/>
      <c r="BC546" s="151"/>
      <c r="BD546" s="157"/>
      <c r="BE546" s="157"/>
      <c r="BF546" s="157"/>
      <c r="BG546" s="157"/>
      <c r="BH546" s="157"/>
      <c r="BI546" s="157"/>
      <c r="BJ546" s="353"/>
      <c r="BK546" s="353"/>
      <c r="BL546" s="353"/>
      <c r="BM546" s="14"/>
      <c r="BN546" s="14"/>
      <c r="BO546" s="14"/>
    </row>
    <row r="547" spans="1:67" ht="20.100000000000001" customHeight="1">
      <c r="A547" s="157"/>
      <c r="B547" s="1"/>
      <c r="C547" s="157"/>
      <c r="D547" s="1"/>
      <c r="E547" s="150"/>
      <c r="F547" s="150"/>
      <c r="G547" s="151"/>
      <c r="H547" s="150"/>
      <c r="I547" s="150"/>
      <c r="J547" s="151"/>
      <c r="K547" s="151"/>
      <c r="L547" s="150"/>
      <c r="M547" s="151"/>
      <c r="N547" s="151"/>
      <c r="O547" s="151"/>
      <c r="P547" s="150"/>
      <c r="Q547" s="150"/>
      <c r="R547" s="158"/>
      <c r="S547" s="158"/>
      <c r="T547" s="158"/>
      <c r="U547" s="158"/>
      <c r="V547" s="1"/>
      <c r="W547" s="1"/>
      <c r="X547" s="157"/>
      <c r="Y547" s="157"/>
      <c r="Z547" s="157"/>
      <c r="AA547" s="157"/>
      <c r="AB547" s="157"/>
      <c r="AC547" s="151"/>
      <c r="AD547" s="151"/>
      <c r="AE547" s="151"/>
      <c r="AF547" s="157"/>
      <c r="AG547" s="157"/>
      <c r="AH547" s="157"/>
      <c r="AI547" s="157"/>
      <c r="AJ547" s="157"/>
      <c r="AK547" s="157"/>
      <c r="AL547" s="157"/>
      <c r="AM547" s="157"/>
      <c r="AN547" s="159"/>
      <c r="AO547" s="159"/>
      <c r="AP547" s="160"/>
      <c r="AQ547" s="160"/>
      <c r="AR547" s="160"/>
      <c r="AS547" s="159"/>
      <c r="AT547" s="159"/>
      <c r="AU547" s="161"/>
      <c r="AV547" s="157"/>
      <c r="AW547" s="157"/>
      <c r="AX547" s="157"/>
      <c r="AY547" s="157"/>
      <c r="AZ547" s="157"/>
      <c r="BA547" s="157"/>
      <c r="BB547" s="157"/>
      <c r="BC547" s="151"/>
      <c r="BD547" s="157"/>
      <c r="BE547" s="157"/>
      <c r="BF547" s="157"/>
      <c r="BG547" s="157"/>
      <c r="BH547" s="157"/>
      <c r="BI547" s="157"/>
      <c r="BJ547" s="353"/>
      <c r="BK547" s="353"/>
      <c r="BL547" s="353"/>
      <c r="BM547" s="14"/>
      <c r="BN547" s="14"/>
      <c r="BO547" s="14"/>
    </row>
    <row r="548" spans="1:67" ht="20.100000000000001" customHeight="1">
      <c r="A548" s="157"/>
      <c r="B548" s="1"/>
      <c r="C548" s="157"/>
      <c r="D548" s="1"/>
      <c r="E548" s="150"/>
      <c r="F548" s="150"/>
      <c r="G548" s="151"/>
      <c r="H548" s="150"/>
      <c r="I548" s="150"/>
      <c r="J548" s="151"/>
      <c r="K548" s="151"/>
      <c r="L548" s="150"/>
      <c r="M548" s="151"/>
      <c r="N548" s="151"/>
      <c r="O548" s="151"/>
      <c r="P548" s="150"/>
      <c r="Q548" s="150"/>
      <c r="R548" s="158"/>
      <c r="S548" s="158"/>
      <c r="T548" s="158"/>
      <c r="U548" s="158"/>
      <c r="V548" s="1"/>
      <c r="W548" s="1"/>
      <c r="X548" s="157"/>
      <c r="Y548" s="157"/>
      <c r="Z548" s="157"/>
      <c r="AA548" s="157"/>
      <c r="AB548" s="157"/>
      <c r="AC548" s="151"/>
      <c r="AD548" s="151"/>
      <c r="AE548" s="151"/>
      <c r="AF548" s="157"/>
      <c r="AG548" s="157"/>
      <c r="AH548" s="157"/>
      <c r="AI548" s="157"/>
      <c r="AJ548" s="157"/>
      <c r="AK548" s="157"/>
      <c r="AL548" s="157"/>
      <c r="AM548" s="157"/>
      <c r="AN548" s="159"/>
      <c r="AO548" s="159"/>
      <c r="AP548" s="160"/>
      <c r="AQ548" s="160"/>
      <c r="AR548" s="160"/>
      <c r="AS548" s="159"/>
      <c r="AT548" s="159"/>
      <c r="AU548" s="161"/>
      <c r="AV548" s="157"/>
      <c r="AW548" s="157"/>
      <c r="AX548" s="157"/>
      <c r="AY548" s="157"/>
      <c r="AZ548" s="157"/>
      <c r="BA548" s="157"/>
      <c r="BB548" s="157"/>
      <c r="BC548" s="151"/>
      <c r="BD548" s="157"/>
      <c r="BE548" s="157"/>
      <c r="BF548" s="157"/>
      <c r="BG548" s="157"/>
      <c r="BH548" s="157"/>
      <c r="BI548" s="157"/>
      <c r="BJ548" s="353"/>
      <c r="BK548" s="353"/>
      <c r="BL548" s="353"/>
      <c r="BM548" s="14"/>
      <c r="BN548" s="14"/>
      <c r="BO548" s="14"/>
    </row>
    <row r="549" spans="1:67" ht="20.100000000000001" customHeight="1">
      <c r="A549" s="157"/>
      <c r="B549" s="1"/>
      <c r="C549" s="157"/>
      <c r="D549" s="1"/>
      <c r="E549" s="150"/>
      <c r="F549" s="150"/>
      <c r="G549" s="151"/>
      <c r="H549" s="150"/>
      <c r="I549" s="150"/>
      <c r="J549" s="151"/>
      <c r="K549" s="151"/>
      <c r="L549" s="150"/>
      <c r="M549" s="151"/>
      <c r="N549" s="151"/>
      <c r="O549" s="151"/>
      <c r="P549" s="150"/>
      <c r="Q549" s="150"/>
      <c r="R549" s="158"/>
      <c r="S549" s="158"/>
      <c r="T549" s="158"/>
      <c r="U549" s="158"/>
      <c r="V549" s="1"/>
      <c r="W549" s="1"/>
      <c r="X549" s="157"/>
      <c r="Y549" s="157"/>
      <c r="Z549" s="157"/>
      <c r="AA549" s="157"/>
      <c r="AB549" s="157"/>
      <c r="AC549" s="151"/>
      <c r="AD549" s="151"/>
      <c r="AE549" s="151"/>
      <c r="AF549" s="157"/>
      <c r="AG549" s="157"/>
      <c r="AH549" s="157"/>
      <c r="AI549" s="157"/>
      <c r="AJ549" s="157"/>
      <c r="AK549" s="157"/>
      <c r="AL549" s="157"/>
      <c r="AM549" s="157"/>
      <c r="AN549" s="159"/>
      <c r="AO549" s="159"/>
      <c r="AP549" s="160"/>
      <c r="AQ549" s="160"/>
      <c r="AR549" s="160"/>
      <c r="AS549" s="159"/>
      <c r="AT549" s="159"/>
      <c r="AU549" s="161"/>
      <c r="AV549" s="157"/>
      <c r="AW549" s="157"/>
      <c r="AX549" s="157"/>
      <c r="AY549" s="157"/>
      <c r="AZ549" s="157"/>
      <c r="BA549" s="157"/>
      <c r="BB549" s="157"/>
      <c r="BC549" s="151"/>
      <c r="BD549" s="157"/>
      <c r="BE549" s="157"/>
      <c r="BF549" s="157"/>
      <c r="BG549" s="157"/>
      <c r="BH549" s="157"/>
      <c r="BI549" s="157"/>
      <c r="BJ549" s="353"/>
      <c r="BK549" s="353"/>
      <c r="BL549" s="353"/>
      <c r="BM549" s="14"/>
      <c r="BN549" s="14"/>
      <c r="BO549" s="14"/>
    </row>
    <row r="550" spans="1:67" ht="20.100000000000001" customHeight="1">
      <c r="A550" s="157"/>
      <c r="B550" s="1"/>
      <c r="C550" s="157"/>
      <c r="D550" s="1"/>
      <c r="E550" s="150"/>
      <c r="F550" s="150"/>
      <c r="G550" s="151"/>
      <c r="H550" s="150"/>
      <c r="I550" s="150"/>
      <c r="J550" s="151"/>
      <c r="K550" s="151"/>
      <c r="L550" s="150"/>
      <c r="M550" s="151"/>
      <c r="N550" s="151"/>
      <c r="O550" s="151"/>
      <c r="P550" s="150"/>
      <c r="Q550" s="150"/>
      <c r="R550" s="158"/>
      <c r="S550" s="158"/>
      <c r="T550" s="158"/>
      <c r="U550" s="158"/>
      <c r="V550" s="1"/>
      <c r="W550" s="1"/>
      <c r="X550" s="157"/>
      <c r="Y550" s="157"/>
      <c r="Z550" s="157"/>
      <c r="AA550" s="157"/>
      <c r="AB550" s="157"/>
      <c r="AC550" s="151"/>
      <c r="AD550" s="151"/>
      <c r="AE550" s="151"/>
      <c r="AF550" s="157"/>
      <c r="AG550" s="157"/>
      <c r="AH550" s="157"/>
      <c r="AI550" s="157"/>
      <c r="AJ550" s="157"/>
      <c r="AK550" s="157"/>
      <c r="AL550" s="157"/>
      <c r="AM550" s="157"/>
      <c r="AN550" s="159"/>
      <c r="AO550" s="159"/>
      <c r="AP550" s="160"/>
      <c r="AQ550" s="160"/>
      <c r="AR550" s="160"/>
      <c r="AS550" s="159"/>
      <c r="AT550" s="159"/>
      <c r="AU550" s="161"/>
      <c r="AV550" s="157"/>
      <c r="AW550" s="157"/>
      <c r="AX550" s="157"/>
      <c r="AY550" s="157"/>
      <c r="AZ550" s="157"/>
      <c r="BA550" s="157"/>
      <c r="BB550" s="157"/>
      <c r="BC550" s="151"/>
      <c r="BD550" s="157"/>
      <c r="BE550" s="157"/>
      <c r="BF550" s="157"/>
      <c r="BG550" s="157"/>
      <c r="BH550" s="157"/>
      <c r="BI550" s="157"/>
      <c r="BJ550" s="353"/>
      <c r="BK550" s="353"/>
      <c r="BL550" s="353"/>
      <c r="BM550" s="14"/>
      <c r="BN550" s="14"/>
      <c r="BO550" s="14"/>
    </row>
    <row r="551" spans="1:67" ht="20.100000000000001" customHeight="1">
      <c r="A551" s="157"/>
      <c r="B551" s="1"/>
      <c r="C551" s="157"/>
      <c r="D551" s="1"/>
      <c r="E551" s="150"/>
      <c r="F551" s="150"/>
      <c r="G551" s="151"/>
      <c r="H551" s="150"/>
      <c r="I551" s="150"/>
      <c r="J551" s="151"/>
      <c r="K551" s="151"/>
      <c r="L551" s="150"/>
      <c r="M551" s="151"/>
      <c r="N551" s="151"/>
      <c r="O551" s="151"/>
      <c r="P551" s="150"/>
      <c r="Q551" s="150"/>
      <c r="R551" s="158"/>
      <c r="S551" s="158"/>
      <c r="T551" s="158"/>
      <c r="U551" s="158"/>
      <c r="V551" s="1"/>
      <c r="W551" s="1"/>
      <c r="X551" s="157"/>
      <c r="Y551" s="157"/>
      <c r="Z551" s="157"/>
      <c r="AA551" s="157"/>
      <c r="AB551" s="157"/>
      <c r="AC551" s="151"/>
      <c r="AD551" s="151"/>
      <c r="AE551" s="151"/>
      <c r="AF551" s="157"/>
      <c r="AG551" s="157"/>
      <c r="AH551" s="157"/>
      <c r="AI551" s="157"/>
      <c r="AJ551" s="157"/>
      <c r="AK551" s="157"/>
      <c r="AL551" s="157"/>
      <c r="AM551" s="157"/>
      <c r="AN551" s="159"/>
      <c r="AO551" s="159"/>
      <c r="AP551" s="160"/>
      <c r="AQ551" s="160"/>
      <c r="AR551" s="160"/>
      <c r="AS551" s="159"/>
      <c r="AT551" s="159"/>
      <c r="AU551" s="161"/>
      <c r="AV551" s="157"/>
      <c r="AW551" s="157"/>
      <c r="AX551" s="157"/>
      <c r="AY551" s="157"/>
      <c r="AZ551" s="157"/>
      <c r="BA551" s="157"/>
      <c r="BB551" s="157"/>
      <c r="BC551" s="151"/>
      <c r="BD551" s="157"/>
      <c r="BE551" s="157"/>
      <c r="BF551" s="157"/>
      <c r="BG551" s="157"/>
      <c r="BH551" s="157"/>
      <c r="BI551" s="157"/>
      <c r="BJ551" s="353"/>
      <c r="BK551" s="353"/>
      <c r="BL551" s="353"/>
      <c r="BM551" s="14"/>
      <c r="BN551" s="14"/>
      <c r="BO551" s="14"/>
    </row>
    <row r="552" spans="1:67" ht="20.100000000000001" customHeight="1">
      <c r="A552" s="157"/>
      <c r="B552" s="1"/>
      <c r="C552" s="157"/>
      <c r="D552" s="1"/>
      <c r="E552" s="150"/>
      <c r="F552" s="150"/>
      <c r="G552" s="151"/>
      <c r="H552" s="150"/>
      <c r="I552" s="150"/>
      <c r="J552" s="151"/>
      <c r="K552" s="151"/>
      <c r="L552" s="150"/>
      <c r="M552" s="151"/>
      <c r="N552" s="151"/>
      <c r="O552" s="151"/>
      <c r="P552" s="150"/>
      <c r="Q552" s="150"/>
      <c r="R552" s="158"/>
      <c r="S552" s="158"/>
      <c r="T552" s="158"/>
      <c r="U552" s="158"/>
      <c r="V552" s="1"/>
      <c r="W552" s="1"/>
      <c r="X552" s="157"/>
      <c r="Y552" s="157"/>
      <c r="Z552" s="157"/>
      <c r="AA552" s="157"/>
      <c r="AB552" s="157"/>
      <c r="AC552" s="151"/>
      <c r="AD552" s="151"/>
      <c r="AE552" s="151"/>
      <c r="AF552" s="157"/>
      <c r="AG552" s="157"/>
      <c r="AH552" s="157"/>
      <c r="AI552" s="157"/>
      <c r="AJ552" s="157"/>
      <c r="AK552" s="157"/>
      <c r="AL552" s="157"/>
      <c r="AM552" s="157"/>
      <c r="AN552" s="159"/>
      <c r="AO552" s="159"/>
      <c r="AP552" s="160"/>
      <c r="AQ552" s="160"/>
      <c r="AR552" s="160"/>
      <c r="AS552" s="159"/>
      <c r="AT552" s="159"/>
      <c r="AU552" s="161"/>
      <c r="AV552" s="157"/>
      <c r="AW552" s="157"/>
      <c r="AX552" s="157"/>
      <c r="AY552" s="157"/>
      <c r="AZ552" s="157"/>
      <c r="BA552" s="157"/>
      <c r="BB552" s="157"/>
      <c r="BC552" s="151"/>
      <c r="BD552" s="157"/>
      <c r="BE552" s="157"/>
      <c r="BF552" s="157"/>
      <c r="BG552" s="157"/>
      <c r="BH552" s="157"/>
      <c r="BI552" s="157"/>
      <c r="BJ552" s="353"/>
      <c r="BK552" s="353"/>
      <c r="BL552" s="353"/>
      <c r="BM552" s="14"/>
      <c r="BN552" s="14"/>
      <c r="BO552" s="14"/>
    </row>
    <row r="553" spans="1:67" ht="20.100000000000001" customHeight="1">
      <c r="A553" s="157"/>
      <c r="B553" s="1"/>
      <c r="C553" s="157"/>
      <c r="D553" s="1"/>
      <c r="E553" s="150"/>
      <c r="F553" s="150"/>
      <c r="G553" s="151"/>
      <c r="H553" s="150"/>
      <c r="I553" s="150"/>
      <c r="J553" s="151"/>
      <c r="K553" s="151"/>
      <c r="L553" s="150"/>
      <c r="M553" s="151"/>
      <c r="N553" s="151"/>
      <c r="O553" s="151"/>
      <c r="P553" s="150"/>
      <c r="Q553" s="150"/>
      <c r="R553" s="158"/>
      <c r="S553" s="158"/>
      <c r="T553" s="158"/>
      <c r="U553" s="158"/>
      <c r="V553" s="1"/>
      <c r="W553" s="1"/>
      <c r="X553" s="157"/>
      <c r="Y553" s="157"/>
      <c r="Z553" s="157"/>
      <c r="AA553" s="157"/>
      <c r="AB553" s="157"/>
      <c r="AC553" s="151"/>
      <c r="AD553" s="151"/>
      <c r="AE553" s="151"/>
      <c r="AF553" s="157"/>
      <c r="AG553" s="157"/>
      <c r="AH553" s="157"/>
      <c r="AI553" s="157"/>
      <c r="AJ553" s="157"/>
      <c r="AK553" s="157"/>
      <c r="AL553" s="157"/>
      <c r="AM553" s="157"/>
      <c r="AN553" s="159"/>
      <c r="AO553" s="159"/>
      <c r="AP553" s="160"/>
      <c r="AQ553" s="160"/>
      <c r="AR553" s="160"/>
      <c r="AS553" s="159"/>
      <c r="AT553" s="159"/>
      <c r="AU553" s="161"/>
      <c r="AV553" s="157"/>
      <c r="AW553" s="157"/>
      <c r="AX553" s="157"/>
      <c r="AY553" s="157"/>
      <c r="AZ553" s="157"/>
      <c r="BA553" s="157"/>
      <c r="BB553" s="157"/>
      <c r="BC553" s="151"/>
      <c r="BD553" s="157"/>
      <c r="BE553" s="157"/>
      <c r="BF553" s="157"/>
      <c r="BG553" s="157"/>
      <c r="BH553" s="157"/>
      <c r="BI553" s="157"/>
      <c r="BJ553" s="353"/>
      <c r="BK553" s="353"/>
      <c r="BL553" s="353"/>
      <c r="BM553" s="14"/>
      <c r="BN553" s="14"/>
      <c r="BO553" s="14"/>
    </row>
    <row r="554" spans="1:67" ht="20.100000000000001" customHeight="1">
      <c r="A554" s="157"/>
      <c r="B554" s="1"/>
      <c r="C554" s="157"/>
      <c r="D554" s="1"/>
      <c r="E554" s="150"/>
      <c r="F554" s="150"/>
      <c r="G554" s="151"/>
      <c r="H554" s="150"/>
      <c r="I554" s="150"/>
      <c r="J554" s="151"/>
      <c r="K554" s="151"/>
      <c r="L554" s="150"/>
      <c r="M554" s="151"/>
      <c r="N554" s="151"/>
      <c r="O554" s="151"/>
      <c r="P554" s="150"/>
      <c r="Q554" s="150"/>
      <c r="R554" s="158"/>
      <c r="S554" s="158"/>
      <c r="T554" s="158"/>
      <c r="U554" s="158"/>
      <c r="V554" s="1"/>
      <c r="W554" s="1"/>
      <c r="X554" s="157"/>
      <c r="Y554" s="157"/>
      <c r="Z554" s="157"/>
      <c r="AA554" s="157"/>
      <c r="AB554" s="157"/>
      <c r="AC554" s="151"/>
      <c r="AD554" s="151"/>
      <c r="AE554" s="151"/>
      <c r="AF554" s="157"/>
      <c r="AG554" s="157"/>
      <c r="AH554" s="157"/>
      <c r="AI554" s="157"/>
      <c r="AJ554" s="157"/>
      <c r="AK554" s="157"/>
      <c r="AL554" s="157"/>
      <c r="AM554" s="157"/>
      <c r="AN554" s="159"/>
      <c r="AO554" s="159"/>
      <c r="AP554" s="160"/>
      <c r="AQ554" s="160"/>
      <c r="AR554" s="160"/>
      <c r="AS554" s="159"/>
      <c r="AT554" s="159"/>
      <c r="AU554" s="161"/>
      <c r="AV554" s="157"/>
      <c r="AW554" s="157"/>
      <c r="AX554" s="157"/>
      <c r="AY554" s="157"/>
      <c r="AZ554" s="157"/>
      <c r="BA554" s="157"/>
      <c r="BB554" s="157"/>
      <c r="BC554" s="151"/>
      <c r="BD554" s="157"/>
      <c r="BE554" s="157"/>
      <c r="BF554" s="157"/>
      <c r="BG554" s="157"/>
      <c r="BH554" s="157"/>
      <c r="BI554" s="157"/>
      <c r="BJ554" s="353"/>
      <c r="BK554" s="353"/>
      <c r="BL554" s="353"/>
      <c r="BM554" s="14"/>
      <c r="BN554" s="14"/>
      <c r="BO554" s="14"/>
    </row>
    <row r="555" spans="1:67" ht="20.100000000000001" customHeight="1">
      <c r="A555" s="157"/>
      <c r="B555" s="1"/>
      <c r="C555" s="157"/>
      <c r="D555" s="1"/>
      <c r="E555" s="150"/>
      <c r="F555" s="150"/>
      <c r="G555" s="151"/>
      <c r="H555" s="150"/>
      <c r="I555" s="150"/>
      <c r="J555" s="151"/>
      <c r="K555" s="151"/>
      <c r="L555" s="150"/>
      <c r="M555" s="151"/>
      <c r="N555" s="151"/>
      <c r="O555" s="151"/>
      <c r="P555" s="150"/>
      <c r="Q555" s="150"/>
      <c r="R555" s="158"/>
      <c r="S555" s="158"/>
      <c r="T555" s="158"/>
      <c r="U555" s="158"/>
      <c r="V555" s="1"/>
      <c r="W555" s="1"/>
      <c r="X555" s="157"/>
      <c r="Y555" s="157"/>
      <c r="Z555" s="157"/>
      <c r="AA555" s="157"/>
      <c r="AB555" s="157"/>
      <c r="AC555" s="151"/>
      <c r="AD555" s="151"/>
      <c r="AE555" s="151"/>
      <c r="AF555" s="157"/>
      <c r="AG555" s="157"/>
      <c r="AH555" s="157"/>
      <c r="AI555" s="157"/>
      <c r="AJ555" s="157"/>
      <c r="AK555" s="157"/>
      <c r="AL555" s="157"/>
      <c r="AM555" s="157"/>
      <c r="AN555" s="159"/>
      <c r="AO555" s="159"/>
      <c r="AP555" s="160"/>
      <c r="AQ555" s="160"/>
      <c r="AR555" s="160"/>
      <c r="AS555" s="159"/>
      <c r="AT555" s="159"/>
      <c r="AU555" s="161"/>
      <c r="AV555" s="157"/>
      <c r="AW555" s="157"/>
      <c r="AX555" s="157"/>
      <c r="AY555" s="157"/>
      <c r="AZ555" s="157"/>
      <c r="BA555" s="157"/>
      <c r="BB555" s="157"/>
      <c r="BC555" s="151"/>
      <c r="BD555" s="157"/>
      <c r="BE555" s="157"/>
      <c r="BF555" s="157"/>
      <c r="BG555" s="157"/>
      <c r="BH555" s="157"/>
      <c r="BI555" s="157"/>
      <c r="BJ555" s="353"/>
      <c r="BK555" s="353"/>
      <c r="BL555" s="353"/>
      <c r="BM555" s="14"/>
      <c r="BN555" s="14"/>
      <c r="BO555" s="14"/>
    </row>
    <row r="556" spans="1:67" ht="20.100000000000001" customHeight="1">
      <c r="A556" s="157"/>
      <c r="B556" s="1"/>
      <c r="C556" s="157"/>
      <c r="D556" s="1"/>
      <c r="E556" s="150"/>
      <c r="F556" s="150"/>
      <c r="G556" s="151"/>
      <c r="H556" s="150"/>
      <c r="I556" s="150"/>
      <c r="J556" s="151"/>
      <c r="K556" s="151"/>
      <c r="L556" s="150"/>
      <c r="M556" s="151"/>
      <c r="N556" s="151"/>
      <c r="O556" s="151"/>
      <c r="P556" s="150"/>
      <c r="Q556" s="150"/>
      <c r="R556" s="158"/>
      <c r="S556" s="158"/>
      <c r="T556" s="158"/>
      <c r="U556" s="158"/>
      <c r="V556" s="1"/>
      <c r="W556" s="1"/>
      <c r="X556" s="157"/>
      <c r="Y556" s="157"/>
      <c r="Z556" s="157"/>
      <c r="AA556" s="157"/>
      <c r="AB556" s="157"/>
      <c r="AC556" s="151"/>
      <c r="AD556" s="151"/>
      <c r="AE556" s="151"/>
      <c r="AF556" s="157"/>
      <c r="AG556" s="157"/>
      <c r="AH556" s="157"/>
      <c r="AI556" s="157"/>
      <c r="AJ556" s="157"/>
      <c r="AK556" s="157"/>
      <c r="AL556" s="157"/>
      <c r="AM556" s="157"/>
      <c r="AN556" s="159"/>
      <c r="AO556" s="159"/>
      <c r="AP556" s="160"/>
      <c r="AQ556" s="160"/>
      <c r="AR556" s="160"/>
      <c r="AS556" s="159"/>
      <c r="AT556" s="159"/>
      <c r="AU556" s="161"/>
      <c r="AV556" s="157"/>
      <c r="AW556" s="157"/>
      <c r="AX556" s="157"/>
      <c r="AY556" s="157"/>
      <c r="AZ556" s="157"/>
      <c r="BA556" s="157"/>
      <c r="BB556" s="157"/>
      <c r="BC556" s="151"/>
      <c r="BD556" s="157"/>
      <c r="BE556" s="157"/>
      <c r="BF556" s="157"/>
      <c r="BG556" s="157"/>
      <c r="BH556" s="157"/>
      <c r="BI556" s="157"/>
      <c r="BJ556" s="353"/>
      <c r="BK556" s="353"/>
      <c r="BL556" s="353"/>
      <c r="BM556" s="14"/>
      <c r="BN556" s="14"/>
      <c r="BO556" s="14"/>
    </row>
    <row r="557" spans="1:67" ht="20.100000000000001" customHeight="1">
      <c r="A557" s="157"/>
      <c r="B557" s="1"/>
      <c r="C557" s="157"/>
      <c r="D557" s="1"/>
      <c r="E557" s="150"/>
      <c r="F557" s="150"/>
      <c r="G557" s="151"/>
      <c r="H557" s="150"/>
      <c r="I557" s="150"/>
      <c r="J557" s="151"/>
      <c r="K557" s="151"/>
      <c r="L557" s="150"/>
      <c r="M557" s="151"/>
      <c r="N557" s="151"/>
      <c r="O557" s="151"/>
      <c r="P557" s="150"/>
      <c r="Q557" s="150"/>
      <c r="R557" s="158"/>
      <c r="S557" s="158"/>
      <c r="T557" s="158"/>
      <c r="U557" s="158"/>
      <c r="V557" s="1"/>
      <c r="W557" s="1"/>
      <c r="X557" s="157"/>
      <c r="Y557" s="157"/>
      <c r="Z557" s="157"/>
      <c r="AA557" s="157"/>
      <c r="AB557" s="157"/>
      <c r="AC557" s="151"/>
      <c r="AD557" s="151"/>
      <c r="AE557" s="151"/>
      <c r="AF557" s="157"/>
      <c r="AG557" s="157"/>
      <c r="AH557" s="157"/>
      <c r="AI557" s="157"/>
      <c r="AJ557" s="157"/>
      <c r="AK557" s="157"/>
      <c r="AL557" s="157"/>
      <c r="AM557" s="157"/>
      <c r="AN557" s="159"/>
      <c r="AO557" s="159"/>
      <c r="AP557" s="160"/>
      <c r="AQ557" s="160"/>
      <c r="AR557" s="160"/>
      <c r="AS557" s="159"/>
      <c r="AT557" s="159"/>
      <c r="AU557" s="161"/>
      <c r="AV557" s="157"/>
      <c r="AW557" s="157"/>
      <c r="AX557" s="157"/>
      <c r="AY557" s="157"/>
      <c r="AZ557" s="157"/>
      <c r="BA557" s="157"/>
      <c r="BB557" s="157"/>
      <c r="BC557" s="151"/>
      <c r="BD557" s="157"/>
      <c r="BE557" s="157"/>
      <c r="BF557" s="157"/>
      <c r="BG557" s="157"/>
      <c r="BH557" s="157"/>
      <c r="BI557" s="157"/>
      <c r="BJ557" s="353"/>
      <c r="BK557" s="353"/>
      <c r="BL557" s="353"/>
      <c r="BM557" s="14"/>
      <c r="BN557" s="14"/>
      <c r="BO557" s="14"/>
    </row>
    <row r="558" spans="1:67" ht="20.100000000000001" customHeight="1">
      <c r="A558" s="157"/>
      <c r="B558" s="1"/>
      <c r="C558" s="157"/>
      <c r="D558" s="1"/>
      <c r="E558" s="150"/>
      <c r="F558" s="150"/>
      <c r="G558" s="151"/>
      <c r="H558" s="150"/>
      <c r="I558" s="150"/>
      <c r="J558" s="151"/>
      <c r="K558" s="151"/>
      <c r="L558" s="150"/>
      <c r="M558" s="151"/>
      <c r="N558" s="151"/>
      <c r="O558" s="151"/>
      <c r="P558" s="150"/>
      <c r="Q558" s="150"/>
      <c r="R558" s="158"/>
      <c r="S558" s="158"/>
      <c r="T558" s="158"/>
      <c r="U558" s="158"/>
      <c r="V558" s="1"/>
      <c r="W558" s="1"/>
      <c r="X558" s="157"/>
      <c r="Y558" s="157"/>
      <c r="Z558" s="157"/>
      <c r="AA558" s="157"/>
      <c r="AB558" s="157"/>
      <c r="AC558" s="151"/>
      <c r="AD558" s="151"/>
      <c r="AE558" s="151"/>
      <c r="AF558" s="157"/>
      <c r="AG558" s="157"/>
      <c r="AH558" s="157"/>
      <c r="AI558" s="157"/>
      <c r="AJ558" s="157"/>
      <c r="AK558" s="157"/>
      <c r="AL558" s="157"/>
      <c r="AM558" s="157"/>
      <c r="AN558" s="159"/>
      <c r="AO558" s="159"/>
      <c r="AP558" s="160"/>
      <c r="AQ558" s="160"/>
      <c r="AR558" s="160"/>
      <c r="AS558" s="159"/>
      <c r="AT558" s="159"/>
      <c r="AU558" s="161"/>
      <c r="AV558" s="157"/>
      <c r="AW558" s="157"/>
      <c r="AX558" s="157"/>
      <c r="AY558" s="157"/>
      <c r="AZ558" s="157"/>
      <c r="BA558" s="157"/>
      <c r="BB558" s="157"/>
      <c r="BC558" s="151"/>
      <c r="BD558" s="157"/>
      <c r="BE558" s="157"/>
      <c r="BF558" s="157"/>
      <c r="BG558" s="157"/>
      <c r="BH558" s="157"/>
      <c r="BI558" s="157"/>
      <c r="BJ558" s="353"/>
      <c r="BK558" s="353"/>
      <c r="BL558" s="353"/>
      <c r="BM558" s="14"/>
      <c r="BN558" s="14"/>
      <c r="BO558" s="14"/>
    </row>
    <row r="559" spans="1:67" ht="20.100000000000001" customHeight="1">
      <c r="A559" s="157"/>
      <c r="B559" s="1"/>
      <c r="C559" s="157"/>
      <c r="D559" s="1"/>
      <c r="E559" s="150"/>
      <c r="F559" s="150"/>
      <c r="G559" s="151"/>
      <c r="H559" s="150"/>
      <c r="I559" s="150"/>
      <c r="J559" s="151"/>
      <c r="K559" s="151"/>
      <c r="L559" s="150"/>
      <c r="M559" s="151"/>
      <c r="N559" s="151"/>
      <c r="O559" s="151"/>
      <c r="P559" s="150"/>
      <c r="Q559" s="150"/>
      <c r="R559" s="158"/>
      <c r="S559" s="158"/>
      <c r="T559" s="158"/>
      <c r="U559" s="158"/>
      <c r="V559" s="1"/>
      <c r="W559" s="1"/>
      <c r="X559" s="157"/>
      <c r="Y559" s="157"/>
      <c r="Z559" s="157"/>
      <c r="AA559" s="157"/>
      <c r="AB559" s="157"/>
      <c r="AC559" s="151"/>
      <c r="AD559" s="151"/>
      <c r="AE559" s="151"/>
      <c r="AF559" s="157"/>
      <c r="AG559" s="157"/>
      <c r="AH559" s="157"/>
      <c r="AI559" s="157"/>
      <c r="AJ559" s="157"/>
      <c r="AK559" s="157"/>
      <c r="AL559" s="157"/>
      <c r="AM559" s="157"/>
      <c r="AN559" s="159"/>
      <c r="AO559" s="159"/>
      <c r="AP559" s="160"/>
      <c r="AQ559" s="160"/>
      <c r="AR559" s="160"/>
      <c r="AS559" s="159"/>
      <c r="AT559" s="159"/>
      <c r="AU559" s="161"/>
      <c r="AV559" s="157"/>
      <c r="AW559" s="157"/>
      <c r="AX559" s="157"/>
      <c r="AY559" s="157"/>
      <c r="AZ559" s="157"/>
      <c r="BA559" s="157"/>
      <c r="BB559" s="157"/>
      <c r="BC559" s="151"/>
      <c r="BD559" s="157"/>
      <c r="BE559" s="157"/>
      <c r="BF559" s="157"/>
      <c r="BG559" s="157"/>
      <c r="BH559" s="157"/>
      <c r="BI559" s="157"/>
      <c r="BJ559" s="353"/>
      <c r="BK559" s="353"/>
      <c r="BL559" s="353"/>
      <c r="BM559" s="14"/>
      <c r="BN559" s="14"/>
      <c r="BO559" s="14"/>
    </row>
    <row r="560" spans="1:67" ht="20.100000000000001" customHeight="1">
      <c r="A560" s="157"/>
      <c r="B560" s="1"/>
      <c r="C560" s="157"/>
      <c r="D560" s="1"/>
      <c r="E560" s="150"/>
      <c r="F560" s="150"/>
      <c r="G560" s="151"/>
      <c r="H560" s="150"/>
      <c r="I560" s="150"/>
      <c r="J560" s="151"/>
      <c r="K560" s="151"/>
      <c r="L560" s="150"/>
      <c r="M560" s="151"/>
      <c r="N560" s="151"/>
      <c r="O560" s="151"/>
      <c r="P560" s="150"/>
      <c r="Q560" s="150"/>
      <c r="R560" s="158"/>
      <c r="S560" s="158"/>
      <c r="T560" s="158"/>
      <c r="U560" s="158"/>
      <c r="V560" s="1"/>
      <c r="W560" s="1"/>
      <c r="X560" s="157"/>
      <c r="Y560" s="157"/>
      <c r="Z560" s="157"/>
      <c r="AA560" s="157"/>
      <c r="AB560" s="157"/>
      <c r="AC560" s="151"/>
      <c r="AD560" s="151"/>
      <c r="AE560" s="151"/>
      <c r="AF560" s="157"/>
      <c r="AG560" s="157"/>
      <c r="AH560" s="157"/>
      <c r="AI560" s="157"/>
      <c r="AJ560" s="157"/>
      <c r="AK560" s="157"/>
      <c r="AL560" s="157"/>
      <c r="AM560" s="157"/>
      <c r="AN560" s="159"/>
      <c r="AO560" s="159"/>
      <c r="AP560" s="160"/>
      <c r="AQ560" s="160"/>
      <c r="AR560" s="160"/>
      <c r="AS560" s="159"/>
      <c r="AT560" s="159"/>
      <c r="AU560" s="161"/>
      <c r="AV560" s="157"/>
      <c r="AW560" s="157"/>
      <c r="AX560" s="157"/>
      <c r="AY560" s="157"/>
      <c r="AZ560" s="157"/>
      <c r="BA560" s="157"/>
      <c r="BB560" s="157"/>
      <c r="BC560" s="151"/>
      <c r="BD560" s="157"/>
      <c r="BE560" s="157"/>
      <c r="BF560" s="157"/>
      <c r="BG560" s="157"/>
      <c r="BH560" s="157"/>
      <c r="BI560" s="157"/>
      <c r="BJ560" s="353"/>
      <c r="BK560" s="353"/>
      <c r="BL560" s="353"/>
      <c r="BM560" s="14"/>
      <c r="BN560" s="14"/>
      <c r="BO560" s="14"/>
    </row>
    <row r="561" spans="1:67" ht="20.100000000000001" customHeight="1">
      <c r="A561" s="157"/>
      <c r="B561" s="1"/>
      <c r="C561" s="157"/>
      <c r="D561" s="1"/>
      <c r="E561" s="150"/>
      <c r="F561" s="150"/>
      <c r="G561" s="151"/>
      <c r="H561" s="150"/>
      <c r="I561" s="150"/>
      <c r="J561" s="151"/>
      <c r="K561" s="151"/>
      <c r="L561" s="150"/>
      <c r="M561" s="151"/>
      <c r="N561" s="151"/>
      <c r="O561" s="151"/>
      <c r="P561" s="150"/>
      <c r="Q561" s="150"/>
      <c r="R561" s="158"/>
      <c r="S561" s="158"/>
      <c r="T561" s="158"/>
      <c r="U561" s="158"/>
      <c r="V561" s="1"/>
      <c r="W561" s="1"/>
      <c r="X561" s="157"/>
      <c r="Y561" s="157"/>
      <c r="Z561" s="157"/>
      <c r="AA561" s="157"/>
      <c r="AB561" s="157"/>
      <c r="AC561" s="151"/>
      <c r="AD561" s="151"/>
      <c r="AE561" s="151"/>
      <c r="AF561" s="157"/>
      <c r="AG561" s="157"/>
      <c r="AH561" s="157"/>
      <c r="AI561" s="157"/>
      <c r="AJ561" s="157"/>
      <c r="AK561" s="157"/>
      <c r="AL561" s="157"/>
      <c r="AM561" s="157"/>
      <c r="AN561" s="159"/>
      <c r="AO561" s="159"/>
      <c r="AP561" s="160"/>
      <c r="AQ561" s="160"/>
      <c r="AR561" s="160"/>
      <c r="AS561" s="159"/>
      <c r="AT561" s="159"/>
      <c r="AU561" s="161"/>
      <c r="AV561" s="157"/>
      <c r="AW561" s="157"/>
      <c r="AX561" s="157"/>
      <c r="AY561" s="157"/>
      <c r="AZ561" s="157"/>
      <c r="BA561" s="157"/>
      <c r="BB561" s="157"/>
      <c r="BC561" s="151"/>
      <c r="BD561" s="157"/>
      <c r="BE561" s="157"/>
      <c r="BF561" s="157"/>
      <c r="BG561" s="157"/>
      <c r="BH561" s="157"/>
      <c r="BI561" s="157"/>
      <c r="BJ561" s="353"/>
      <c r="BK561" s="353"/>
      <c r="BL561" s="353"/>
      <c r="BM561" s="14"/>
      <c r="BN561" s="14"/>
      <c r="BO561" s="14"/>
    </row>
    <row r="562" spans="1:67" ht="20.100000000000001" customHeight="1">
      <c r="A562" s="157"/>
      <c r="B562" s="1"/>
      <c r="C562" s="157"/>
      <c r="D562" s="1"/>
      <c r="E562" s="150"/>
      <c r="F562" s="150"/>
      <c r="G562" s="151"/>
      <c r="H562" s="150"/>
      <c r="I562" s="150"/>
      <c r="J562" s="151"/>
      <c r="K562" s="151"/>
      <c r="L562" s="150"/>
      <c r="M562" s="151"/>
      <c r="N562" s="151"/>
      <c r="O562" s="151"/>
      <c r="P562" s="150"/>
      <c r="Q562" s="150"/>
      <c r="R562" s="158"/>
      <c r="S562" s="158"/>
      <c r="T562" s="158"/>
      <c r="U562" s="158"/>
      <c r="V562" s="1"/>
      <c r="W562" s="1"/>
      <c r="X562" s="157"/>
      <c r="Y562" s="157"/>
      <c r="Z562" s="157"/>
      <c r="AA562" s="157"/>
      <c r="AB562" s="157"/>
      <c r="AC562" s="151"/>
      <c r="AD562" s="151"/>
      <c r="AE562" s="151"/>
      <c r="AF562" s="157"/>
      <c r="AG562" s="157"/>
      <c r="AH562" s="157"/>
      <c r="AI562" s="157"/>
      <c r="AJ562" s="157"/>
      <c r="AK562" s="157"/>
      <c r="AL562" s="157"/>
      <c r="AM562" s="157"/>
      <c r="AN562" s="159"/>
      <c r="AO562" s="159"/>
      <c r="AP562" s="160"/>
      <c r="AQ562" s="160"/>
      <c r="AR562" s="160"/>
      <c r="AS562" s="159"/>
      <c r="AT562" s="159"/>
      <c r="AU562" s="161"/>
      <c r="AV562" s="157"/>
      <c r="AW562" s="157"/>
      <c r="AX562" s="157"/>
      <c r="AY562" s="157"/>
      <c r="AZ562" s="157"/>
      <c r="BA562" s="157"/>
      <c r="BB562" s="157"/>
      <c r="BC562" s="151"/>
      <c r="BD562" s="157"/>
      <c r="BE562" s="157"/>
      <c r="BF562" s="157"/>
      <c r="BG562" s="157"/>
      <c r="BH562" s="157"/>
      <c r="BI562" s="157"/>
      <c r="BJ562" s="353"/>
      <c r="BK562" s="353"/>
      <c r="BL562" s="353"/>
      <c r="BM562" s="14"/>
      <c r="BN562" s="14"/>
      <c r="BO562" s="14"/>
    </row>
    <row r="563" spans="1:67" ht="20.100000000000001" customHeight="1">
      <c r="A563" s="157"/>
      <c r="B563" s="1"/>
      <c r="C563" s="157"/>
      <c r="D563" s="1"/>
      <c r="E563" s="150"/>
      <c r="F563" s="150"/>
      <c r="G563" s="151"/>
      <c r="H563" s="150"/>
      <c r="I563" s="150"/>
      <c r="J563" s="151"/>
      <c r="K563" s="151"/>
      <c r="L563" s="150"/>
      <c r="M563" s="151"/>
      <c r="N563" s="151"/>
      <c r="O563" s="151"/>
      <c r="P563" s="150"/>
      <c r="Q563" s="150"/>
      <c r="R563" s="158"/>
      <c r="S563" s="158"/>
      <c r="T563" s="158"/>
      <c r="U563" s="158"/>
      <c r="V563" s="1"/>
      <c r="W563" s="1"/>
      <c r="X563" s="157"/>
      <c r="Y563" s="157"/>
      <c r="Z563" s="157"/>
      <c r="AA563" s="157"/>
      <c r="AB563" s="157"/>
      <c r="AC563" s="151"/>
      <c r="AD563" s="151"/>
      <c r="AE563" s="151"/>
      <c r="AF563" s="157"/>
      <c r="AG563" s="157"/>
      <c r="AH563" s="157"/>
      <c r="AI563" s="157"/>
      <c r="AJ563" s="157"/>
      <c r="AK563" s="157"/>
      <c r="AL563" s="157"/>
      <c r="AM563" s="157"/>
      <c r="AN563" s="159"/>
      <c r="AO563" s="159"/>
      <c r="AP563" s="160"/>
      <c r="AQ563" s="160"/>
      <c r="AR563" s="160"/>
      <c r="AS563" s="159"/>
      <c r="AT563" s="159"/>
      <c r="AU563" s="161"/>
      <c r="AV563" s="157"/>
      <c r="AW563" s="157"/>
      <c r="AX563" s="157"/>
      <c r="AY563" s="157"/>
      <c r="AZ563" s="157"/>
      <c r="BA563" s="157"/>
      <c r="BB563" s="157"/>
      <c r="BC563" s="151"/>
      <c r="BD563" s="157"/>
      <c r="BE563" s="157"/>
      <c r="BF563" s="157"/>
      <c r="BG563" s="157"/>
      <c r="BH563" s="157"/>
      <c r="BI563" s="157"/>
      <c r="BJ563" s="353"/>
      <c r="BK563" s="353"/>
      <c r="BL563" s="353"/>
      <c r="BM563" s="14"/>
      <c r="BN563" s="14"/>
      <c r="BO563" s="14"/>
    </row>
    <row r="564" spans="1:67" ht="20.100000000000001" customHeight="1">
      <c r="A564" s="157"/>
      <c r="B564" s="1"/>
      <c r="C564" s="157"/>
      <c r="D564" s="1"/>
      <c r="E564" s="150"/>
      <c r="F564" s="150"/>
      <c r="G564" s="151"/>
      <c r="H564" s="150"/>
      <c r="I564" s="150"/>
      <c r="J564" s="151"/>
      <c r="K564" s="151"/>
      <c r="L564" s="150"/>
      <c r="M564" s="151"/>
      <c r="N564" s="151"/>
      <c r="O564" s="151"/>
      <c r="P564" s="150"/>
      <c r="Q564" s="150"/>
      <c r="R564" s="158"/>
      <c r="S564" s="158"/>
      <c r="T564" s="158"/>
      <c r="U564" s="158"/>
      <c r="V564" s="1"/>
      <c r="W564" s="1"/>
      <c r="X564" s="157"/>
      <c r="Y564" s="157"/>
      <c r="Z564" s="157"/>
      <c r="AA564" s="157"/>
      <c r="AB564" s="157"/>
      <c r="AC564" s="151"/>
      <c r="AD564" s="151"/>
      <c r="AE564" s="151"/>
      <c r="AF564" s="157"/>
      <c r="AG564" s="157"/>
      <c r="AH564" s="157"/>
      <c r="AI564" s="157"/>
      <c r="AJ564" s="157"/>
      <c r="AK564" s="157"/>
      <c r="AL564" s="157"/>
      <c r="AM564" s="157"/>
      <c r="AN564" s="159"/>
      <c r="AO564" s="159"/>
      <c r="AP564" s="160"/>
      <c r="AQ564" s="160"/>
      <c r="AR564" s="160"/>
      <c r="AS564" s="159"/>
      <c r="AT564" s="159"/>
      <c r="AU564" s="161"/>
      <c r="AV564" s="157"/>
      <c r="AW564" s="157"/>
      <c r="AX564" s="157"/>
      <c r="AY564" s="157"/>
      <c r="AZ564" s="157"/>
      <c r="BA564" s="157"/>
      <c r="BB564" s="157"/>
      <c r="BC564" s="151"/>
      <c r="BD564" s="157"/>
      <c r="BE564" s="157"/>
      <c r="BF564" s="157"/>
      <c r="BG564" s="157"/>
      <c r="BH564" s="157"/>
      <c r="BI564" s="157"/>
      <c r="BJ564" s="353"/>
      <c r="BK564" s="353"/>
      <c r="BL564" s="353"/>
      <c r="BM564" s="14"/>
      <c r="BN564" s="14"/>
      <c r="BO564" s="14"/>
    </row>
    <row r="565" spans="1:67" ht="20.100000000000001" customHeight="1">
      <c r="A565" s="157"/>
      <c r="B565" s="1"/>
      <c r="C565" s="157"/>
      <c r="D565" s="1"/>
      <c r="E565" s="150"/>
      <c r="F565" s="150"/>
      <c r="G565" s="151"/>
      <c r="H565" s="150"/>
      <c r="I565" s="150"/>
      <c r="J565" s="151"/>
      <c r="K565" s="151"/>
      <c r="L565" s="150"/>
      <c r="M565" s="151"/>
      <c r="N565" s="151"/>
      <c r="O565" s="151"/>
      <c r="P565" s="150"/>
      <c r="Q565" s="150"/>
      <c r="R565" s="158"/>
      <c r="S565" s="158"/>
      <c r="T565" s="158"/>
      <c r="U565" s="158"/>
      <c r="V565" s="1"/>
      <c r="W565" s="1"/>
      <c r="X565" s="157"/>
      <c r="Y565" s="157"/>
      <c r="Z565" s="157"/>
      <c r="AA565" s="157"/>
      <c r="AB565" s="157"/>
      <c r="AC565" s="151"/>
      <c r="AD565" s="151"/>
      <c r="AE565" s="151"/>
      <c r="AF565" s="157"/>
      <c r="AG565" s="157"/>
      <c r="AH565" s="157"/>
      <c r="AI565" s="157"/>
      <c r="AJ565" s="157"/>
      <c r="AK565" s="157"/>
      <c r="AL565" s="157"/>
      <c r="AM565" s="157"/>
      <c r="AN565" s="159"/>
      <c r="AO565" s="159"/>
      <c r="AP565" s="160"/>
      <c r="AQ565" s="160"/>
      <c r="AR565" s="160"/>
      <c r="AS565" s="159"/>
      <c r="AT565" s="159"/>
      <c r="AU565" s="161"/>
      <c r="AV565" s="157"/>
      <c r="AW565" s="157"/>
      <c r="AX565" s="157"/>
      <c r="AY565" s="157"/>
      <c r="AZ565" s="157"/>
      <c r="BA565" s="157"/>
      <c r="BB565" s="157"/>
      <c r="BC565" s="151"/>
      <c r="BD565" s="157"/>
      <c r="BE565" s="157"/>
      <c r="BF565" s="157"/>
      <c r="BG565" s="157"/>
      <c r="BH565" s="157"/>
      <c r="BI565" s="157"/>
      <c r="BJ565" s="353"/>
      <c r="BK565" s="353"/>
      <c r="BL565" s="353"/>
      <c r="BM565" s="14"/>
      <c r="BN565" s="14"/>
      <c r="BO565" s="14"/>
    </row>
    <row r="566" spans="1:67" ht="20.100000000000001" customHeight="1">
      <c r="A566" s="157"/>
      <c r="B566" s="1"/>
      <c r="C566" s="157"/>
      <c r="D566" s="1"/>
      <c r="E566" s="150"/>
      <c r="F566" s="150"/>
      <c r="G566" s="151"/>
      <c r="H566" s="150"/>
      <c r="I566" s="150"/>
      <c r="J566" s="151"/>
      <c r="K566" s="151"/>
      <c r="L566" s="150"/>
      <c r="M566" s="151"/>
      <c r="N566" s="151"/>
      <c r="O566" s="151"/>
      <c r="P566" s="150"/>
      <c r="Q566" s="150"/>
      <c r="R566" s="158"/>
      <c r="S566" s="158"/>
      <c r="T566" s="158"/>
      <c r="U566" s="158"/>
      <c r="V566" s="1"/>
      <c r="W566" s="1"/>
      <c r="X566" s="157"/>
      <c r="Y566" s="157"/>
      <c r="Z566" s="157"/>
      <c r="AA566" s="157"/>
      <c r="AB566" s="157"/>
      <c r="AC566" s="151"/>
      <c r="AD566" s="151"/>
      <c r="AE566" s="151"/>
      <c r="AF566" s="157"/>
      <c r="AG566" s="157"/>
      <c r="AH566" s="157"/>
      <c r="AI566" s="157"/>
      <c r="AJ566" s="157"/>
      <c r="AK566" s="157"/>
      <c r="AL566" s="157"/>
      <c r="AM566" s="157"/>
      <c r="AN566" s="159"/>
      <c r="AO566" s="159"/>
      <c r="AP566" s="160"/>
      <c r="AQ566" s="160"/>
      <c r="AR566" s="160"/>
      <c r="AS566" s="159"/>
      <c r="AT566" s="159"/>
      <c r="AU566" s="161"/>
      <c r="AV566" s="157"/>
      <c r="AW566" s="157"/>
      <c r="AX566" s="157"/>
      <c r="AY566" s="157"/>
      <c r="AZ566" s="157"/>
      <c r="BA566" s="157"/>
      <c r="BB566" s="157"/>
      <c r="BC566" s="151"/>
      <c r="BD566" s="157"/>
      <c r="BE566" s="157"/>
      <c r="BF566" s="157"/>
      <c r="BG566" s="157"/>
      <c r="BH566" s="157"/>
      <c r="BI566" s="157"/>
      <c r="BJ566" s="353"/>
      <c r="BK566" s="353"/>
      <c r="BL566" s="353"/>
      <c r="BM566" s="14"/>
      <c r="BN566" s="14"/>
      <c r="BO566" s="14"/>
    </row>
    <row r="567" spans="1:67" ht="20.100000000000001" customHeight="1">
      <c r="A567" s="157"/>
      <c r="B567" s="1"/>
      <c r="C567" s="157"/>
      <c r="D567" s="1"/>
      <c r="E567" s="150"/>
      <c r="F567" s="150"/>
      <c r="G567" s="151"/>
      <c r="H567" s="150"/>
      <c r="I567" s="150"/>
      <c r="J567" s="151"/>
      <c r="K567" s="151"/>
      <c r="L567" s="150"/>
      <c r="M567" s="151"/>
      <c r="N567" s="151"/>
      <c r="O567" s="151"/>
      <c r="P567" s="150"/>
      <c r="Q567" s="150"/>
      <c r="R567" s="158"/>
      <c r="S567" s="158"/>
      <c r="T567" s="158"/>
      <c r="U567" s="158"/>
      <c r="V567" s="1"/>
      <c r="W567" s="1"/>
      <c r="X567" s="157"/>
      <c r="Y567" s="157"/>
      <c r="Z567" s="157"/>
      <c r="AA567" s="157"/>
      <c r="AB567" s="157"/>
      <c r="AC567" s="151"/>
      <c r="AD567" s="151"/>
      <c r="AE567" s="151"/>
      <c r="AF567" s="157"/>
      <c r="AG567" s="157"/>
      <c r="AH567" s="157"/>
      <c r="AI567" s="157"/>
      <c r="AJ567" s="157"/>
      <c r="AK567" s="157"/>
      <c r="AL567" s="157"/>
      <c r="AM567" s="157"/>
      <c r="AN567" s="159"/>
      <c r="AO567" s="159"/>
      <c r="AP567" s="160"/>
      <c r="AQ567" s="160"/>
      <c r="AR567" s="160"/>
      <c r="AS567" s="159"/>
      <c r="AT567" s="159"/>
      <c r="AU567" s="161"/>
      <c r="AV567" s="157"/>
      <c r="AW567" s="157"/>
      <c r="AX567" s="157"/>
      <c r="AY567" s="157"/>
      <c r="AZ567" s="157"/>
      <c r="BA567" s="157"/>
      <c r="BB567" s="157"/>
      <c r="BC567" s="151"/>
      <c r="BD567" s="157"/>
      <c r="BE567" s="157"/>
      <c r="BF567" s="157"/>
      <c r="BG567" s="157"/>
      <c r="BH567" s="157"/>
      <c r="BI567" s="157"/>
      <c r="BJ567" s="353"/>
      <c r="BK567" s="353"/>
      <c r="BL567" s="353"/>
      <c r="BM567" s="14"/>
      <c r="BN567" s="14"/>
      <c r="BO567" s="14"/>
    </row>
    <row r="568" spans="1:67" ht="20.100000000000001" customHeight="1">
      <c r="A568" s="157"/>
      <c r="B568" s="1"/>
      <c r="C568" s="157"/>
      <c r="D568" s="1"/>
      <c r="E568" s="150"/>
      <c r="F568" s="150"/>
      <c r="G568" s="151"/>
      <c r="H568" s="150"/>
      <c r="I568" s="150"/>
      <c r="J568" s="151"/>
      <c r="K568" s="151"/>
      <c r="L568" s="150"/>
      <c r="M568" s="151"/>
      <c r="N568" s="151"/>
      <c r="O568" s="151"/>
      <c r="P568" s="150"/>
      <c r="Q568" s="150"/>
      <c r="R568" s="158"/>
      <c r="S568" s="158"/>
      <c r="T568" s="158"/>
      <c r="U568" s="158"/>
      <c r="V568" s="1"/>
      <c r="W568" s="1"/>
      <c r="X568" s="157"/>
      <c r="Y568" s="157"/>
      <c r="Z568" s="157"/>
      <c r="AA568" s="157"/>
      <c r="AB568" s="157"/>
      <c r="AC568" s="151"/>
      <c r="AD568" s="151"/>
      <c r="AE568" s="151"/>
      <c r="AF568" s="157"/>
      <c r="AG568" s="157"/>
      <c r="AH568" s="157"/>
      <c r="AI568" s="157"/>
      <c r="AJ568" s="157"/>
      <c r="AK568" s="157"/>
      <c r="AL568" s="157"/>
      <c r="AM568" s="157"/>
      <c r="AN568" s="159"/>
      <c r="AO568" s="159"/>
      <c r="AP568" s="160"/>
      <c r="AQ568" s="160"/>
      <c r="AR568" s="160"/>
      <c r="AS568" s="159"/>
      <c r="AT568" s="159"/>
      <c r="AU568" s="161"/>
      <c r="AV568" s="157"/>
      <c r="AW568" s="157"/>
      <c r="AX568" s="157"/>
      <c r="AY568" s="157"/>
      <c r="AZ568" s="157"/>
      <c r="BA568" s="157"/>
      <c r="BB568" s="157"/>
      <c r="BC568" s="151"/>
      <c r="BD568" s="157"/>
      <c r="BE568" s="157"/>
      <c r="BF568" s="157"/>
      <c r="BG568" s="157"/>
      <c r="BH568" s="157"/>
      <c r="BI568" s="157"/>
      <c r="BJ568" s="353"/>
      <c r="BK568" s="353"/>
      <c r="BL568" s="353"/>
      <c r="BM568" s="14"/>
      <c r="BN568" s="14"/>
      <c r="BO568" s="14"/>
    </row>
    <row r="569" spans="1:67" ht="20.100000000000001" customHeight="1">
      <c r="A569" s="157"/>
      <c r="B569" s="1"/>
      <c r="C569" s="157"/>
      <c r="D569" s="1"/>
      <c r="E569" s="150"/>
      <c r="F569" s="150"/>
      <c r="G569" s="151"/>
      <c r="H569" s="150"/>
      <c r="I569" s="150"/>
      <c r="J569" s="151"/>
      <c r="K569" s="151"/>
      <c r="L569" s="150"/>
      <c r="M569" s="151"/>
      <c r="N569" s="151"/>
      <c r="O569" s="151"/>
      <c r="P569" s="150"/>
      <c r="Q569" s="150"/>
      <c r="R569" s="158"/>
      <c r="S569" s="158"/>
      <c r="T569" s="158"/>
      <c r="U569" s="158"/>
      <c r="V569" s="1"/>
      <c r="W569" s="1"/>
      <c r="X569" s="157"/>
      <c r="Y569" s="157"/>
      <c r="Z569" s="157"/>
      <c r="AA569" s="157"/>
      <c r="AB569" s="157"/>
      <c r="AC569" s="151"/>
      <c r="AD569" s="151"/>
      <c r="AE569" s="151"/>
      <c r="AF569" s="157"/>
      <c r="AG569" s="157"/>
      <c r="AH569" s="157"/>
      <c r="AI569" s="157"/>
      <c r="AJ569" s="157"/>
      <c r="AK569" s="157"/>
      <c r="AL569" s="157"/>
      <c r="AM569" s="157"/>
      <c r="AN569" s="159"/>
      <c r="AO569" s="159"/>
      <c r="AP569" s="160"/>
      <c r="AQ569" s="160"/>
      <c r="AR569" s="160"/>
      <c r="AS569" s="159"/>
      <c r="AT569" s="159"/>
      <c r="AU569" s="161"/>
      <c r="AV569" s="157"/>
      <c r="AW569" s="157"/>
      <c r="AX569" s="157"/>
      <c r="AY569" s="157"/>
      <c r="AZ569" s="157"/>
      <c r="BA569" s="157"/>
      <c r="BB569" s="157"/>
      <c r="BC569" s="151"/>
      <c r="BD569" s="157"/>
      <c r="BE569" s="157"/>
      <c r="BF569" s="157"/>
      <c r="BG569" s="157"/>
      <c r="BH569" s="157"/>
      <c r="BI569" s="157"/>
      <c r="BJ569" s="353"/>
      <c r="BK569" s="353"/>
      <c r="BL569" s="353"/>
      <c r="BM569" s="14"/>
      <c r="BN569" s="14"/>
      <c r="BO569" s="14"/>
    </row>
    <row r="570" spans="1:67" ht="20.100000000000001" customHeight="1">
      <c r="A570" s="157"/>
      <c r="B570" s="1"/>
      <c r="C570" s="157"/>
      <c r="D570" s="1"/>
      <c r="E570" s="150"/>
      <c r="F570" s="150"/>
      <c r="G570" s="151"/>
      <c r="H570" s="150"/>
      <c r="I570" s="150"/>
      <c r="J570" s="151"/>
      <c r="K570" s="151"/>
      <c r="L570" s="150"/>
      <c r="M570" s="151"/>
      <c r="N570" s="151"/>
      <c r="O570" s="151"/>
      <c r="P570" s="150"/>
      <c r="Q570" s="150"/>
      <c r="R570" s="158"/>
      <c r="S570" s="158"/>
      <c r="T570" s="158"/>
      <c r="U570" s="158"/>
      <c r="V570" s="1"/>
      <c r="W570" s="1"/>
      <c r="X570" s="157"/>
      <c r="Y570" s="157"/>
      <c r="Z570" s="157"/>
      <c r="AA570" s="157"/>
      <c r="AB570" s="157"/>
      <c r="AC570" s="151"/>
      <c r="AD570" s="151"/>
      <c r="AE570" s="151"/>
      <c r="AF570" s="157"/>
      <c r="AG570" s="157"/>
      <c r="AH570" s="157"/>
      <c r="AI570" s="157"/>
      <c r="AJ570" s="157"/>
      <c r="AK570" s="157"/>
      <c r="AL570" s="157"/>
      <c r="AM570" s="157"/>
      <c r="AN570" s="159"/>
      <c r="AO570" s="159"/>
      <c r="AP570" s="160"/>
      <c r="AQ570" s="160"/>
      <c r="AR570" s="160"/>
      <c r="AS570" s="159"/>
      <c r="AT570" s="159"/>
      <c r="AU570" s="161"/>
      <c r="AV570" s="157"/>
      <c r="AW570" s="157"/>
      <c r="AX570" s="157"/>
      <c r="AY570" s="157"/>
      <c r="AZ570" s="157"/>
      <c r="BA570" s="157"/>
      <c r="BB570" s="157"/>
      <c r="BC570" s="151"/>
      <c r="BD570" s="157"/>
      <c r="BE570" s="157"/>
      <c r="BF570" s="157"/>
      <c r="BG570" s="157"/>
      <c r="BH570" s="157"/>
      <c r="BI570" s="157"/>
      <c r="BJ570" s="353"/>
      <c r="BK570" s="353"/>
      <c r="BL570" s="353"/>
      <c r="BM570" s="14"/>
      <c r="BN570" s="14"/>
      <c r="BO570" s="14"/>
    </row>
    <row r="571" spans="1:67" ht="20.100000000000001" customHeight="1">
      <c r="A571" s="157"/>
      <c r="B571" s="1"/>
      <c r="C571" s="157"/>
      <c r="D571" s="1"/>
      <c r="E571" s="150"/>
      <c r="F571" s="150"/>
      <c r="G571" s="151"/>
      <c r="H571" s="150"/>
      <c r="I571" s="150"/>
      <c r="J571" s="151"/>
      <c r="K571" s="151"/>
      <c r="L571" s="150"/>
      <c r="M571" s="151"/>
      <c r="N571" s="151"/>
      <c r="O571" s="151"/>
      <c r="P571" s="150"/>
      <c r="Q571" s="150"/>
      <c r="R571" s="158"/>
      <c r="S571" s="158"/>
      <c r="T571" s="158"/>
      <c r="U571" s="158"/>
      <c r="V571" s="1"/>
      <c r="W571" s="1"/>
      <c r="X571" s="157"/>
      <c r="Y571" s="157"/>
      <c r="Z571" s="157"/>
      <c r="AA571" s="157"/>
      <c r="AB571" s="157"/>
      <c r="AC571" s="151"/>
      <c r="AD571" s="151"/>
      <c r="AE571" s="151"/>
      <c r="AF571" s="157"/>
      <c r="AG571" s="157"/>
      <c r="AH571" s="157"/>
      <c r="AI571" s="157"/>
      <c r="AJ571" s="157"/>
      <c r="AK571" s="157"/>
      <c r="AL571" s="157"/>
      <c r="AM571" s="157"/>
      <c r="AN571" s="159"/>
      <c r="AO571" s="159"/>
      <c r="AP571" s="160"/>
      <c r="AQ571" s="160"/>
      <c r="AR571" s="160"/>
      <c r="AS571" s="159"/>
      <c r="AT571" s="159"/>
      <c r="AU571" s="161"/>
      <c r="AV571" s="157"/>
      <c r="AW571" s="157"/>
      <c r="AX571" s="157"/>
      <c r="AY571" s="157"/>
      <c r="AZ571" s="157"/>
      <c r="BA571" s="157"/>
      <c r="BB571" s="157"/>
      <c r="BC571" s="151"/>
      <c r="BD571" s="157"/>
      <c r="BE571" s="157"/>
      <c r="BF571" s="157"/>
      <c r="BG571" s="157"/>
      <c r="BH571" s="157"/>
      <c r="BI571" s="157"/>
      <c r="BJ571" s="353"/>
      <c r="BK571" s="353"/>
      <c r="BL571" s="353"/>
      <c r="BM571" s="14"/>
      <c r="BN571" s="14"/>
      <c r="BO571" s="14"/>
    </row>
    <row r="572" spans="1:67" ht="20.100000000000001" customHeight="1">
      <c r="A572" s="157"/>
      <c r="B572" s="1"/>
      <c r="C572" s="157"/>
      <c r="D572" s="1"/>
      <c r="E572" s="150"/>
      <c r="F572" s="150"/>
      <c r="G572" s="151"/>
      <c r="H572" s="150"/>
      <c r="I572" s="150"/>
      <c r="J572" s="151"/>
      <c r="K572" s="151"/>
      <c r="L572" s="150"/>
      <c r="M572" s="151"/>
      <c r="N572" s="151"/>
      <c r="O572" s="151"/>
      <c r="P572" s="150"/>
      <c r="Q572" s="150"/>
      <c r="R572" s="158"/>
      <c r="S572" s="158"/>
      <c r="T572" s="158"/>
      <c r="U572" s="158"/>
      <c r="V572" s="1"/>
      <c r="W572" s="1"/>
      <c r="X572" s="157"/>
      <c r="Y572" s="157"/>
      <c r="Z572" s="157"/>
      <c r="AA572" s="157"/>
      <c r="AB572" s="157"/>
      <c r="AC572" s="151"/>
      <c r="AD572" s="151"/>
      <c r="AE572" s="151"/>
      <c r="AF572" s="157"/>
      <c r="AG572" s="157"/>
      <c r="AH572" s="157"/>
      <c r="AI572" s="157"/>
      <c r="AJ572" s="157"/>
      <c r="AK572" s="157"/>
      <c r="AL572" s="157"/>
      <c r="AM572" s="157"/>
      <c r="AN572" s="159"/>
      <c r="AO572" s="159"/>
      <c r="AP572" s="160"/>
      <c r="AQ572" s="160"/>
      <c r="AR572" s="160"/>
      <c r="AS572" s="159"/>
      <c r="AT572" s="159"/>
      <c r="AU572" s="161"/>
      <c r="AV572" s="157"/>
      <c r="AW572" s="157"/>
      <c r="AX572" s="157"/>
      <c r="AY572" s="157"/>
      <c r="AZ572" s="157"/>
      <c r="BA572" s="157"/>
      <c r="BB572" s="157"/>
      <c r="BC572" s="151"/>
      <c r="BD572" s="157"/>
      <c r="BE572" s="157"/>
      <c r="BF572" s="157"/>
      <c r="BG572" s="157"/>
      <c r="BH572" s="157"/>
      <c r="BI572" s="157"/>
      <c r="BJ572" s="353"/>
      <c r="BK572" s="353"/>
      <c r="BL572" s="353"/>
      <c r="BM572" s="14"/>
      <c r="BN572" s="14"/>
      <c r="BO572" s="14"/>
    </row>
    <row r="573" spans="1:67" ht="20.100000000000001" customHeight="1">
      <c r="A573" s="157"/>
      <c r="B573" s="1"/>
      <c r="C573" s="157"/>
      <c r="D573" s="1"/>
      <c r="E573" s="150"/>
      <c r="F573" s="150"/>
      <c r="G573" s="151"/>
      <c r="H573" s="150"/>
      <c r="I573" s="150"/>
      <c r="J573" s="151"/>
      <c r="K573" s="151"/>
      <c r="L573" s="150"/>
      <c r="M573" s="151"/>
      <c r="N573" s="151"/>
      <c r="O573" s="151"/>
      <c r="P573" s="150"/>
      <c r="Q573" s="150"/>
      <c r="R573" s="158"/>
      <c r="S573" s="158"/>
      <c r="T573" s="158"/>
      <c r="U573" s="158"/>
      <c r="V573" s="1"/>
      <c r="W573" s="1"/>
      <c r="X573" s="157"/>
      <c r="Y573" s="157"/>
      <c r="Z573" s="157"/>
      <c r="AA573" s="157"/>
      <c r="AB573" s="157"/>
      <c r="AC573" s="151"/>
      <c r="AD573" s="151"/>
      <c r="AE573" s="151"/>
      <c r="AF573" s="157"/>
      <c r="AG573" s="157"/>
      <c r="AH573" s="157"/>
      <c r="AI573" s="157"/>
      <c r="AJ573" s="157"/>
      <c r="AK573" s="157"/>
      <c r="AL573" s="157"/>
      <c r="AM573" s="157"/>
      <c r="AN573" s="159"/>
      <c r="AO573" s="159"/>
      <c r="AP573" s="160"/>
      <c r="AQ573" s="160"/>
      <c r="AR573" s="160"/>
      <c r="AS573" s="159"/>
      <c r="AT573" s="159"/>
      <c r="AU573" s="161"/>
      <c r="AV573" s="157"/>
      <c r="AW573" s="157"/>
      <c r="AX573" s="157"/>
      <c r="AY573" s="157"/>
      <c r="AZ573" s="157"/>
      <c r="BA573" s="157"/>
      <c r="BB573" s="157"/>
      <c r="BC573" s="151"/>
      <c r="BD573" s="157"/>
      <c r="BE573" s="157"/>
      <c r="BF573" s="157"/>
      <c r="BG573" s="157"/>
      <c r="BH573" s="157"/>
      <c r="BI573" s="157"/>
      <c r="BJ573" s="353"/>
      <c r="BK573" s="353"/>
      <c r="BL573" s="353"/>
      <c r="BM573" s="14"/>
      <c r="BN573" s="14"/>
      <c r="BO573" s="14"/>
    </row>
    <row r="574" spans="1:67" ht="20.100000000000001" customHeight="1">
      <c r="A574" s="157"/>
      <c r="B574" s="1"/>
      <c r="C574" s="157"/>
      <c r="D574" s="1"/>
      <c r="E574" s="150"/>
      <c r="F574" s="150"/>
      <c r="G574" s="151"/>
      <c r="H574" s="150"/>
      <c r="I574" s="150"/>
      <c r="J574" s="151"/>
      <c r="K574" s="151"/>
      <c r="L574" s="150"/>
      <c r="M574" s="151"/>
      <c r="N574" s="151"/>
      <c r="O574" s="151"/>
      <c r="P574" s="150"/>
      <c r="Q574" s="150"/>
      <c r="R574" s="158"/>
      <c r="S574" s="158"/>
      <c r="T574" s="158"/>
      <c r="U574" s="158"/>
      <c r="V574" s="1"/>
      <c r="W574" s="1"/>
      <c r="X574" s="157"/>
      <c r="Y574" s="157"/>
      <c r="Z574" s="157"/>
      <c r="AA574" s="157"/>
      <c r="AB574" s="157"/>
      <c r="AC574" s="151"/>
      <c r="AD574" s="151"/>
      <c r="AE574" s="151"/>
      <c r="AF574" s="157"/>
      <c r="AG574" s="157"/>
      <c r="AH574" s="157"/>
      <c r="AI574" s="157"/>
      <c r="AJ574" s="157"/>
      <c r="AK574" s="157"/>
      <c r="AL574" s="157"/>
      <c r="AM574" s="157"/>
      <c r="AN574" s="159"/>
      <c r="AO574" s="159"/>
      <c r="AP574" s="160"/>
      <c r="AQ574" s="160"/>
      <c r="AR574" s="160"/>
      <c r="AS574" s="159"/>
      <c r="AT574" s="159"/>
      <c r="AU574" s="161"/>
      <c r="AV574" s="157"/>
      <c r="AW574" s="157"/>
      <c r="AX574" s="157"/>
      <c r="AY574" s="157"/>
      <c r="AZ574" s="157"/>
      <c r="BA574" s="157"/>
      <c r="BB574" s="157"/>
      <c r="BC574" s="151"/>
      <c r="BD574" s="157"/>
      <c r="BE574" s="157"/>
      <c r="BF574" s="157"/>
      <c r="BG574" s="157"/>
      <c r="BH574" s="157"/>
      <c r="BI574" s="157"/>
      <c r="BJ574" s="353"/>
      <c r="BK574" s="353"/>
      <c r="BL574" s="353"/>
      <c r="BM574" s="14"/>
      <c r="BN574" s="14"/>
      <c r="BO574" s="14"/>
    </row>
    <row r="575" spans="1:67" ht="20.100000000000001" customHeight="1">
      <c r="A575" s="157"/>
      <c r="B575" s="1"/>
      <c r="C575" s="157"/>
      <c r="D575" s="1"/>
      <c r="E575" s="150"/>
      <c r="F575" s="150"/>
      <c r="G575" s="151"/>
      <c r="H575" s="150"/>
      <c r="I575" s="150"/>
      <c r="J575" s="151"/>
      <c r="K575" s="151"/>
      <c r="L575" s="150"/>
      <c r="M575" s="151"/>
      <c r="N575" s="151"/>
      <c r="O575" s="151"/>
      <c r="P575" s="150"/>
      <c r="Q575" s="150"/>
      <c r="R575" s="158"/>
      <c r="S575" s="158"/>
      <c r="T575" s="158"/>
      <c r="U575" s="158"/>
      <c r="V575" s="1"/>
      <c r="W575" s="1"/>
      <c r="X575" s="157"/>
      <c r="Y575" s="157"/>
      <c r="Z575" s="157"/>
      <c r="AA575" s="157"/>
      <c r="AB575" s="157"/>
      <c r="AC575" s="151"/>
      <c r="AD575" s="151"/>
      <c r="AE575" s="151"/>
      <c r="AF575" s="157"/>
      <c r="AG575" s="157"/>
      <c r="AH575" s="157"/>
      <c r="AI575" s="157"/>
      <c r="AJ575" s="157"/>
      <c r="AK575" s="157"/>
      <c r="AL575" s="157"/>
      <c r="AM575" s="157"/>
      <c r="AN575" s="159"/>
      <c r="AO575" s="159"/>
      <c r="AP575" s="160"/>
      <c r="AQ575" s="160"/>
      <c r="AR575" s="160"/>
      <c r="AS575" s="159"/>
      <c r="AT575" s="159"/>
      <c r="AU575" s="161"/>
      <c r="AV575" s="157"/>
      <c r="AW575" s="157"/>
      <c r="AX575" s="157"/>
      <c r="AY575" s="157"/>
      <c r="AZ575" s="157"/>
      <c r="BA575" s="157"/>
      <c r="BB575" s="157"/>
      <c r="BC575" s="151"/>
      <c r="BD575" s="157"/>
      <c r="BE575" s="157"/>
      <c r="BF575" s="157"/>
      <c r="BG575" s="157"/>
      <c r="BH575" s="157"/>
      <c r="BI575" s="157"/>
      <c r="BJ575" s="353"/>
      <c r="BK575" s="353"/>
      <c r="BL575" s="353"/>
      <c r="BM575" s="14"/>
      <c r="BN575" s="14"/>
      <c r="BO575" s="14"/>
    </row>
    <row r="576" spans="1:67" ht="20.100000000000001" customHeight="1">
      <c r="A576" s="157"/>
      <c r="B576" s="1"/>
      <c r="C576" s="157"/>
      <c r="D576" s="1"/>
      <c r="E576" s="150"/>
      <c r="F576" s="150"/>
      <c r="G576" s="151"/>
      <c r="H576" s="150"/>
      <c r="I576" s="150"/>
      <c r="J576" s="151"/>
      <c r="K576" s="151"/>
      <c r="L576" s="150"/>
      <c r="M576" s="151"/>
      <c r="N576" s="151"/>
      <c r="O576" s="151"/>
      <c r="P576" s="150"/>
      <c r="Q576" s="150"/>
      <c r="R576" s="158"/>
      <c r="S576" s="158"/>
      <c r="T576" s="158"/>
      <c r="U576" s="158"/>
      <c r="V576" s="1"/>
      <c r="W576" s="1"/>
      <c r="X576" s="157"/>
      <c r="Y576" s="157"/>
      <c r="Z576" s="157"/>
      <c r="AA576" s="157"/>
      <c r="AB576" s="157"/>
      <c r="AC576" s="151"/>
      <c r="AD576" s="151"/>
      <c r="AE576" s="151"/>
      <c r="AF576" s="157"/>
      <c r="AG576" s="157"/>
      <c r="AH576" s="157"/>
      <c r="AI576" s="157"/>
      <c r="AJ576" s="157"/>
      <c r="AK576" s="157"/>
      <c r="AL576" s="157"/>
      <c r="AM576" s="157"/>
      <c r="AN576" s="159"/>
      <c r="AO576" s="159"/>
      <c r="AP576" s="160"/>
      <c r="AQ576" s="160"/>
      <c r="AR576" s="160"/>
      <c r="AS576" s="159"/>
      <c r="AT576" s="159"/>
      <c r="AU576" s="161"/>
      <c r="AV576" s="157"/>
      <c r="AW576" s="157"/>
      <c r="AX576" s="157"/>
      <c r="AY576" s="157"/>
      <c r="AZ576" s="157"/>
      <c r="BA576" s="157"/>
      <c r="BB576" s="157"/>
      <c r="BC576" s="151"/>
      <c r="BD576" s="157"/>
      <c r="BE576" s="157"/>
      <c r="BF576" s="157"/>
      <c r="BG576" s="157"/>
      <c r="BH576" s="157"/>
      <c r="BI576" s="157"/>
      <c r="BJ576" s="353"/>
      <c r="BK576" s="353"/>
      <c r="BL576" s="353"/>
      <c r="BM576" s="14"/>
      <c r="BN576" s="14"/>
      <c r="BO576" s="14"/>
    </row>
    <row r="577" spans="1:67" ht="20.100000000000001" customHeight="1">
      <c r="A577" s="157"/>
      <c r="B577" s="1"/>
      <c r="C577" s="157"/>
      <c r="D577" s="1"/>
      <c r="E577" s="150"/>
      <c r="F577" s="150"/>
      <c r="G577" s="151"/>
      <c r="H577" s="150"/>
      <c r="I577" s="150"/>
      <c r="J577" s="151"/>
      <c r="K577" s="151"/>
      <c r="L577" s="150"/>
      <c r="M577" s="151"/>
      <c r="N577" s="151"/>
      <c r="O577" s="151"/>
      <c r="P577" s="150"/>
      <c r="Q577" s="150"/>
      <c r="R577" s="158"/>
      <c r="S577" s="158"/>
      <c r="T577" s="158"/>
      <c r="U577" s="158"/>
      <c r="V577" s="1"/>
      <c r="W577" s="1"/>
      <c r="X577" s="157"/>
      <c r="Y577" s="157"/>
      <c r="Z577" s="157"/>
      <c r="AA577" s="157"/>
      <c r="AB577" s="157"/>
      <c r="AC577" s="151"/>
      <c r="AD577" s="151"/>
      <c r="AE577" s="151"/>
      <c r="AF577" s="157"/>
      <c r="AG577" s="157"/>
      <c r="AH577" s="157"/>
      <c r="AI577" s="157"/>
      <c r="AJ577" s="157"/>
      <c r="AK577" s="157"/>
      <c r="AL577" s="157"/>
      <c r="AM577" s="157"/>
      <c r="AN577" s="159"/>
      <c r="AO577" s="159"/>
      <c r="AP577" s="160"/>
      <c r="AQ577" s="160"/>
      <c r="AR577" s="160"/>
      <c r="AS577" s="159"/>
      <c r="AT577" s="159"/>
      <c r="AU577" s="161"/>
      <c r="AV577" s="157"/>
      <c r="AW577" s="157"/>
      <c r="AX577" s="157"/>
      <c r="AY577" s="157"/>
      <c r="AZ577" s="157"/>
      <c r="BA577" s="157"/>
      <c r="BB577" s="157"/>
      <c r="BC577" s="151"/>
      <c r="BD577" s="157"/>
      <c r="BE577" s="157"/>
      <c r="BF577" s="157"/>
      <c r="BG577" s="157"/>
      <c r="BH577" s="157"/>
      <c r="BI577" s="157"/>
      <c r="BJ577" s="353"/>
      <c r="BK577" s="353"/>
      <c r="BL577" s="353"/>
      <c r="BM577" s="14"/>
      <c r="BN577" s="14"/>
      <c r="BO577" s="14"/>
    </row>
    <row r="578" spans="1:67" ht="20.100000000000001" customHeight="1">
      <c r="A578" s="157"/>
      <c r="B578" s="1"/>
      <c r="C578" s="157"/>
      <c r="D578" s="1"/>
      <c r="E578" s="150"/>
      <c r="F578" s="150"/>
      <c r="G578" s="151"/>
      <c r="H578" s="150"/>
      <c r="I578" s="150"/>
      <c r="J578" s="151"/>
      <c r="K578" s="151"/>
      <c r="L578" s="150"/>
      <c r="M578" s="151"/>
      <c r="N578" s="151"/>
      <c r="O578" s="151"/>
      <c r="P578" s="150"/>
      <c r="Q578" s="150"/>
      <c r="R578" s="158"/>
      <c r="S578" s="158"/>
      <c r="T578" s="158"/>
      <c r="U578" s="158"/>
      <c r="V578" s="1"/>
      <c r="W578" s="1"/>
      <c r="X578" s="157"/>
      <c r="Y578" s="157"/>
      <c r="Z578" s="157"/>
      <c r="AA578" s="157"/>
      <c r="AB578" s="157"/>
      <c r="AC578" s="151"/>
      <c r="AD578" s="151"/>
      <c r="AE578" s="151"/>
      <c r="AF578" s="157"/>
      <c r="AG578" s="157"/>
      <c r="AH578" s="157"/>
      <c r="AI578" s="157"/>
      <c r="AJ578" s="157"/>
      <c r="AK578" s="157"/>
      <c r="AL578" s="157"/>
      <c r="AM578" s="157"/>
      <c r="AN578" s="159"/>
      <c r="AO578" s="159"/>
      <c r="AP578" s="160"/>
      <c r="AQ578" s="160"/>
      <c r="AR578" s="160"/>
      <c r="AS578" s="159"/>
      <c r="AT578" s="159"/>
      <c r="AU578" s="161"/>
      <c r="AV578" s="157"/>
      <c r="AW578" s="157"/>
      <c r="AX578" s="157"/>
      <c r="AY578" s="157"/>
      <c r="AZ578" s="157"/>
      <c r="BA578" s="157"/>
      <c r="BB578" s="157"/>
      <c r="BC578" s="151"/>
      <c r="BD578" s="157"/>
      <c r="BE578" s="157"/>
      <c r="BF578" s="157"/>
      <c r="BG578" s="157"/>
      <c r="BH578" s="157"/>
      <c r="BI578" s="157"/>
      <c r="BJ578" s="353"/>
      <c r="BK578" s="353"/>
      <c r="BL578" s="353"/>
      <c r="BM578" s="14"/>
      <c r="BN578" s="14"/>
      <c r="BO578" s="14"/>
    </row>
    <row r="579" spans="1:67" ht="20.100000000000001" customHeight="1">
      <c r="A579" s="157"/>
      <c r="B579" s="1"/>
      <c r="C579" s="157"/>
      <c r="D579" s="1"/>
      <c r="E579" s="150"/>
      <c r="F579" s="150"/>
      <c r="G579" s="151"/>
      <c r="H579" s="150"/>
      <c r="I579" s="150"/>
      <c r="J579" s="151"/>
      <c r="K579" s="151"/>
      <c r="L579" s="150"/>
      <c r="M579" s="151"/>
      <c r="N579" s="151"/>
      <c r="O579" s="151"/>
      <c r="P579" s="150"/>
      <c r="Q579" s="150"/>
      <c r="R579" s="158"/>
      <c r="S579" s="158"/>
      <c r="T579" s="158"/>
      <c r="U579" s="158"/>
      <c r="V579" s="1"/>
      <c r="W579" s="1"/>
      <c r="X579" s="157"/>
      <c r="Y579" s="157"/>
      <c r="Z579" s="157"/>
      <c r="AA579" s="157"/>
      <c r="AB579" s="157"/>
      <c r="AC579" s="151"/>
      <c r="AD579" s="151"/>
      <c r="AE579" s="151"/>
      <c r="AF579" s="157"/>
      <c r="AG579" s="157"/>
      <c r="AH579" s="157"/>
      <c r="AI579" s="157"/>
      <c r="AJ579" s="157"/>
      <c r="AK579" s="157"/>
      <c r="AL579" s="157"/>
      <c r="AM579" s="157"/>
      <c r="AN579" s="159"/>
      <c r="AO579" s="159"/>
      <c r="AP579" s="160"/>
      <c r="AQ579" s="160"/>
      <c r="AR579" s="160"/>
      <c r="AS579" s="159"/>
      <c r="AT579" s="159"/>
      <c r="AU579" s="161"/>
      <c r="AV579" s="157"/>
      <c r="AW579" s="157"/>
      <c r="AX579" s="157"/>
      <c r="AY579" s="157"/>
      <c r="AZ579" s="157"/>
      <c r="BA579" s="157"/>
      <c r="BB579" s="157"/>
      <c r="BC579" s="151"/>
      <c r="BD579" s="157"/>
      <c r="BE579" s="157"/>
      <c r="BF579" s="157"/>
      <c r="BG579" s="157"/>
      <c r="BH579" s="157"/>
      <c r="BI579" s="157"/>
      <c r="BJ579" s="353"/>
      <c r="BK579" s="353"/>
      <c r="BL579" s="353"/>
      <c r="BM579" s="14"/>
      <c r="BN579" s="14"/>
      <c r="BO579" s="14"/>
    </row>
    <row r="580" spans="1:67" ht="20.100000000000001" customHeight="1">
      <c r="A580" s="157"/>
      <c r="B580" s="1"/>
      <c r="C580" s="157"/>
      <c r="D580" s="1"/>
      <c r="E580" s="150"/>
      <c r="F580" s="150"/>
      <c r="G580" s="151"/>
      <c r="H580" s="150"/>
      <c r="I580" s="150"/>
      <c r="J580" s="151"/>
      <c r="K580" s="151"/>
      <c r="L580" s="150"/>
      <c r="M580" s="151"/>
      <c r="N580" s="151"/>
      <c r="O580" s="151"/>
      <c r="P580" s="150"/>
      <c r="Q580" s="150"/>
      <c r="R580" s="158"/>
      <c r="S580" s="158"/>
      <c r="T580" s="158"/>
      <c r="U580" s="158"/>
      <c r="V580" s="1"/>
      <c r="W580" s="1"/>
      <c r="X580" s="157"/>
      <c r="Y580" s="157"/>
      <c r="Z580" s="157"/>
      <c r="AA580" s="157"/>
      <c r="AB580" s="157"/>
      <c r="AC580" s="151"/>
      <c r="AD580" s="151"/>
      <c r="AE580" s="151"/>
      <c r="AF580" s="157"/>
      <c r="AG580" s="157"/>
      <c r="AH580" s="157"/>
      <c r="AI580" s="157"/>
      <c r="AJ580" s="157"/>
      <c r="AK580" s="157"/>
      <c r="AL580" s="157"/>
      <c r="AM580" s="157"/>
      <c r="AN580" s="159"/>
      <c r="AO580" s="159"/>
      <c r="AP580" s="160"/>
      <c r="AQ580" s="160"/>
      <c r="AR580" s="160"/>
      <c r="AS580" s="159"/>
      <c r="AT580" s="159"/>
      <c r="AU580" s="161"/>
      <c r="AV580" s="157"/>
      <c r="AW580" s="157"/>
      <c r="AX580" s="157"/>
      <c r="AY580" s="157"/>
      <c r="AZ580" s="157"/>
      <c r="BA580" s="157"/>
      <c r="BB580" s="157"/>
      <c r="BC580" s="151"/>
      <c r="BD580" s="157"/>
      <c r="BE580" s="157"/>
      <c r="BF580" s="157"/>
      <c r="BG580" s="157"/>
      <c r="BH580" s="157"/>
      <c r="BI580" s="157"/>
      <c r="BJ580" s="353"/>
      <c r="BK580" s="353"/>
      <c r="BL580" s="353"/>
      <c r="BM580" s="14"/>
      <c r="BN580" s="14"/>
      <c r="BO580" s="14"/>
    </row>
    <row r="581" spans="1:67" ht="20.100000000000001" customHeight="1">
      <c r="A581" s="157"/>
      <c r="B581" s="1"/>
      <c r="C581" s="157"/>
      <c r="D581" s="1"/>
      <c r="E581" s="150"/>
      <c r="F581" s="150"/>
      <c r="G581" s="151"/>
      <c r="H581" s="150"/>
      <c r="I581" s="150"/>
      <c r="J581" s="151"/>
      <c r="K581" s="151"/>
      <c r="L581" s="150"/>
      <c r="M581" s="151"/>
      <c r="N581" s="151"/>
      <c r="O581" s="151"/>
      <c r="P581" s="150"/>
      <c r="Q581" s="150"/>
      <c r="R581" s="158"/>
      <c r="S581" s="158"/>
      <c r="T581" s="158"/>
      <c r="U581" s="158"/>
      <c r="V581" s="1"/>
      <c r="W581" s="1"/>
      <c r="X581" s="157"/>
      <c r="Y581" s="157"/>
      <c r="Z581" s="157"/>
      <c r="AA581" s="157"/>
      <c r="AB581" s="157"/>
      <c r="AC581" s="151"/>
      <c r="AD581" s="151"/>
      <c r="AE581" s="151"/>
      <c r="AF581" s="157"/>
      <c r="AG581" s="157"/>
      <c r="AH581" s="157"/>
      <c r="AI581" s="157"/>
      <c r="AJ581" s="157"/>
      <c r="AK581" s="157"/>
      <c r="AL581" s="157"/>
      <c r="AM581" s="157"/>
      <c r="AN581" s="159"/>
      <c r="AO581" s="159"/>
      <c r="AP581" s="160"/>
      <c r="AQ581" s="160"/>
      <c r="AR581" s="160"/>
      <c r="AS581" s="159"/>
      <c r="AT581" s="159"/>
      <c r="AU581" s="161"/>
      <c r="AV581" s="157"/>
      <c r="AW581" s="157"/>
      <c r="AX581" s="157"/>
      <c r="AY581" s="157"/>
      <c r="AZ581" s="157"/>
      <c r="BA581" s="157"/>
      <c r="BB581" s="157"/>
      <c r="BC581" s="151"/>
      <c r="BD581" s="157"/>
      <c r="BE581" s="157"/>
      <c r="BF581" s="157"/>
      <c r="BG581" s="157"/>
      <c r="BH581" s="157"/>
      <c r="BI581" s="157"/>
      <c r="BJ581" s="353"/>
      <c r="BK581" s="353"/>
      <c r="BL581" s="353"/>
      <c r="BM581" s="14"/>
      <c r="BN581" s="14"/>
      <c r="BO581" s="14"/>
    </row>
    <row r="582" spans="1:67" ht="20.100000000000001" customHeight="1">
      <c r="A582" s="157"/>
      <c r="B582" s="1"/>
      <c r="C582" s="157"/>
      <c r="D582" s="1"/>
      <c r="E582" s="150"/>
      <c r="F582" s="150"/>
      <c r="G582" s="151"/>
      <c r="H582" s="150"/>
      <c r="I582" s="150"/>
      <c r="J582" s="151"/>
      <c r="K582" s="151"/>
      <c r="L582" s="150"/>
      <c r="M582" s="151"/>
      <c r="N582" s="151"/>
      <c r="O582" s="151"/>
      <c r="P582" s="150"/>
      <c r="Q582" s="150"/>
      <c r="R582" s="158"/>
      <c r="S582" s="158"/>
      <c r="T582" s="158"/>
      <c r="U582" s="158"/>
      <c r="V582" s="1"/>
      <c r="W582" s="1"/>
      <c r="X582" s="157"/>
      <c r="Y582" s="157"/>
      <c r="Z582" s="157"/>
      <c r="AA582" s="157"/>
      <c r="AB582" s="157"/>
      <c r="AC582" s="151"/>
      <c r="AD582" s="151"/>
      <c r="AE582" s="151"/>
      <c r="AF582" s="157"/>
      <c r="AG582" s="157"/>
      <c r="AH582" s="157"/>
      <c r="AI582" s="157"/>
      <c r="AJ582" s="157"/>
      <c r="AK582" s="157"/>
      <c r="AL582" s="157"/>
      <c r="AM582" s="157"/>
      <c r="AN582" s="159"/>
      <c r="AO582" s="159"/>
      <c r="AP582" s="160"/>
      <c r="AQ582" s="160"/>
      <c r="AR582" s="160"/>
      <c r="AS582" s="159"/>
      <c r="AT582" s="159"/>
      <c r="AU582" s="161"/>
      <c r="AV582" s="157"/>
      <c r="AW582" s="157"/>
      <c r="AX582" s="157"/>
      <c r="AY582" s="157"/>
      <c r="AZ582" s="157"/>
      <c r="BA582" s="157"/>
      <c r="BB582" s="157"/>
      <c r="BC582" s="151"/>
      <c r="BD582" s="157"/>
      <c r="BE582" s="157"/>
      <c r="BF582" s="157"/>
      <c r="BG582" s="157"/>
      <c r="BH582" s="157"/>
      <c r="BI582" s="157"/>
      <c r="BJ582" s="353"/>
      <c r="BK582" s="353"/>
      <c r="BL582" s="353"/>
      <c r="BM582" s="14"/>
      <c r="BN582" s="14"/>
      <c r="BO582" s="14"/>
    </row>
    <row r="583" spans="1:67" ht="20.100000000000001" customHeight="1">
      <c r="A583" s="157"/>
      <c r="B583" s="1"/>
      <c r="C583" s="157"/>
      <c r="D583" s="1"/>
      <c r="E583" s="150"/>
      <c r="F583" s="150"/>
      <c r="G583" s="151"/>
      <c r="H583" s="150"/>
      <c r="I583" s="150"/>
      <c r="J583" s="151"/>
      <c r="K583" s="151"/>
      <c r="L583" s="150"/>
      <c r="M583" s="151"/>
      <c r="N583" s="151"/>
      <c r="O583" s="151"/>
      <c r="P583" s="150"/>
      <c r="Q583" s="150"/>
      <c r="R583" s="158"/>
      <c r="S583" s="158"/>
      <c r="T583" s="158"/>
      <c r="U583" s="158"/>
      <c r="V583" s="1"/>
      <c r="W583" s="1"/>
      <c r="X583" s="157"/>
      <c r="Y583" s="157"/>
      <c r="Z583" s="157"/>
      <c r="AA583" s="157"/>
      <c r="AB583" s="157"/>
      <c r="AC583" s="151"/>
      <c r="AD583" s="151"/>
      <c r="AE583" s="151"/>
      <c r="AF583" s="157"/>
      <c r="AG583" s="157"/>
      <c r="AH583" s="157"/>
      <c r="AI583" s="157"/>
      <c r="AJ583" s="157"/>
      <c r="AK583" s="157"/>
      <c r="AL583" s="157"/>
      <c r="AM583" s="157"/>
      <c r="AN583" s="159"/>
      <c r="AO583" s="159"/>
      <c r="AP583" s="160"/>
      <c r="AQ583" s="160"/>
      <c r="AR583" s="160"/>
      <c r="AS583" s="159"/>
      <c r="AT583" s="159"/>
      <c r="AU583" s="161"/>
      <c r="AV583" s="157"/>
      <c r="AW583" s="157"/>
      <c r="AX583" s="157"/>
      <c r="AY583" s="157"/>
      <c r="AZ583" s="157"/>
      <c r="BA583" s="157"/>
      <c r="BB583" s="157"/>
      <c r="BC583" s="151"/>
      <c r="BD583" s="157"/>
      <c r="BE583" s="157"/>
      <c r="BF583" s="157"/>
      <c r="BG583" s="157"/>
      <c r="BH583" s="157"/>
      <c r="BI583" s="157"/>
      <c r="BJ583" s="353"/>
      <c r="BK583" s="353"/>
      <c r="BL583" s="353"/>
      <c r="BM583" s="14"/>
      <c r="BN583" s="14"/>
      <c r="BO583" s="14"/>
    </row>
    <row r="584" spans="1:67" ht="20.100000000000001" customHeight="1">
      <c r="A584" s="157"/>
      <c r="B584" s="1"/>
      <c r="C584" s="157"/>
      <c r="D584" s="1"/>
      <c r="E584" s="150"/>
      <c r="F584" s="150"/>
      <c r="G584" s="151"/>
      <c r="H584" s="150"/>
      <c r="I584" s="150"/>
      <c r="J584" s="151"/>
      <c r="K584" s="151"/>
      <c r="L584" s="150"/>
      <c r="M584" s="151"/>
      <c r="N584" s="151"/>
      <c r="O584" s="151"/>
      <c r="P584" s="150"/>
      <c r="Q584" s="150"/>
      <c r="R584" s="158"/>
      <c r="S584" s="158"/>
      <c r="T584" s="158"/>
      <c r="U584" s="158"/>
      <c r="V584" s="1"/>
      <c r="W584" s="1"/>
      <c r="X584" s="157"/>
      <c r="Y584" s="157"/>
      <c r="Z584" s="157"/>
      <c r="AA584" s="157"/>
      <c r="AB584" s="157"/>
      <c r="AC584" s="151"/>
      <c r="AD584" s="151"/>
      <c r="AE584" s="151"/>
      <c r="AF584" s="157"/>
      <c r="AG584" s="157"/>
      <c r="AH584" s="157"/>
      <c r="AI584" s="157"/>
      <c r="AJ584" s="157"/>
      <c r="AK584" s="157"/>
      <c r="AL584" s="157"/>
      <c r="AM584" s="157"/>
      <c r="AN584" s="159"/>
      <c r="AO584" s="159"/>
      <c r="AP584" s="160"/>
      <c r="AQ584" s="160"/>
      <c r="AR584" s="160"/>
      <c r="AS584" s="159"/>
      <c r="AT584" s="159"/>
      <c r="AU584" s="161"/>
      <c r="AV584" s="157"/>
      <c r="AW584" s="157"/>
      <c r="AX584" s="157"/>
      <c r="AY584" s="157"/>
      <c r="AZ584" s="157"/>
      <c r="BA584" s="157"/>
      <c r="BB584" s="157"/>
      <c r="BC584" s="151"/>
      <c r="BD584" s="157"/>
      <c r="BE584" s="157"/>
      <c r="BF584" s="157"/>
      <c r="BG584" s="157"/>
      <c r="BH584" s="157"/>
      <c r="BI584" s="157"/>
      <c r="BJ584" s="353"/>
      <c r="BK584" s="353"/>
      <c r="BL584" s="353"/>
      <c r="BM584" s="14"/>
      <c r="BN584" s="14"/>
      <c r="BO584" s="14"/>
    </row>
    <row r="585" spans="1:67" ht="20.100000000000001" customHeight="1">
      <c r="A585" s="157"/>
      <c r="B585" s="1"/>
      <c r="C585" s="157"/>
      <c r="D585" s="1"/>
      <c r="E585" s="150"/>
      <c r="F585" s="150"/>
      <c r="G585" s="151"/>
      <c r="H585" s="150"/>
      <c r="I585" s="150"/>
      <c r="J585" s="151"/>
      <c r="K585" s="151"/>
      <c r="L585" s="150"/>
      <c r="M585" s="151"/>
      <c r="N585" s="151"/>
      <c r="O585" s="151"/>
      <c r="P585" s="150"/>
      <c r="Q585" s="150"/>
      <c r="R585" s="158"/>
      <c r="S585" s="158"/>
      <c r="T585" s="158"/>
      <c r="U585" s="158"/>
      <c r="V585" s="1"/>
      <c r="W585" s="1"/>
      <c r="X585" s="157"/>
      <c r="Y585" s="157"/>
      <c r="Z585" s="157"/>
      <c r="AA585" s="157"/>
      <c r="AB585" s="157"/>
      <c r="AC585" s="151"/>
      <c r="AD585" s="151"/>
      <c r="AE585" s="151"/>
      <c r="AF585" s="157"/>
      <c r="AG585" s="157"/>
      <c r="AH585" s="157"/>
      <c r="AI585" s="157"/>
      <c r="AJ585" s="157"/>
      <c r="AK585" s="157"/>
      <c r="AL585" s="157"/>
      <c r="AM585" s="157"/>
      <c r="AN585" s="159"/>
      <c r="AO585" s="159"/>
      <c r="AP585" s="160"/>
      <c r="AQ585" s="160"/>
      <c r="AR585" s="160"/>
      <c r="AS585" s="159"/>
      <c r="AT585" s="159"/>
      <c r="AU585" s="161"/>
      <c r="AV585" s="157"/>
      <c r="AW585" s="157"/>
      <c r="AX585" s="157"/>
      <c r="AY585" s="157"/>
      <c r="AZ585" s="157"/>
      <c r="BA585" s="157"/>
      <c r="BB585" s="157"/>
      <c r="BC585" s="151"/>
      <c r="BD585" s="157"/>
      <c r="BE585" s="157"/>
      <c r="BF585" s="157"/>
      <c r="BG585" s="157"/>
      <c r="BH585" s="157"/>
      <c r="BI585" s="157"/>
      <c r="BJ585" s="353"/>
      <c r="BK585" s="353"/>
      <c r="BL585" s="353"/>
      <c r="BM585" s="14"/>
      <c r="BN585" s="14"/>
      <c r="BO585" s="14"/>
    </row>
    <row r="586" spans="1:67" ht="20.100000000000001" customHeight="1">
      <c r="A586" s="157"/>
      <c r="B586" s="1"/>
      <c r="C586" s="157"/>
      <c r="D586" s="1"/>
      <c r="E586" s="150"/>
      <c r="F586" s="150"/>
      <c r="G586" s="151"/>
      <c r="H586" s="150"/>
      <c r="I586" s="150"/>
      <c r="J586" s="151"/>
      <c r="K586" s="151"/>
      <c r="L586" s="150"/>
      <c r="M586" s="151"/>
      <c r="N586" s="151"/>
      <c r="O586" s="151"/>
      <c r="P586" s="150"/>
      <c r="Q586" s="150"/>
      <c r="R586" s="158"/>
      <c r="S586" s="158"/>
      <c r="T586" s="158"/>
      <c r="U586" s="158"/>
      <c r="V586" s="1"/>
      <c r="W586" s="1"/>
      <c r="X586" s="157"/>
      <c r="Y586" s="157"/>
      <c r="Z586" s="157"/>
      <c r="AA586" s="157"/>
      <c r="AB586" s="157"/>
      <c r="AC586" s="151"/>
      <c r="AD586" s="151"/>
      <c r="AE586" s="151"/>
      <c r="AF586" s="157"/>
      <c r="AG586" s="157"/>
      <c r="AH586" s="157"/>
      <c r="AI586" s="157"/>
      <c r="AJ586" s="157"/>
      <c r="AK586" s="157"/>
      <c r="AL586" s="157"/>
      <c r="AM586" s="157"/>
      <c r="AN586" s="159"/>
      <c r="AO586" s="159"/>
      <c r="AP586" s="160"/>
      <c r="AQ586" s="160"/>
      <c r="AR586" s="160"/>
      <c r="AS586" s="159"/>
      <c r="AT586" s="159"/>
      <c r="AU586" s="161"/>
      <c r="AV586" s="157"/>
      <c r="AW586" s="157"/>
      <c r="AX586" s="157"/>
      <c r="AY586" s="157"/>
      <c r="AZ586" s="157"/>
      <c r="BA586" s="157"/>
      <c r="BB586" s="157"/>
      <c r="BC586" s="151"/>
      <c r="BD586" s="157"/>
      <c r="BE586" s="157"/>
      <c r="BF586" s="157"/>
      <c r="BG586" s="157"/>
      <c r="BH586" s="157"/>
      <c r="BI586" s="157"/>
      <c r="BJ586" s="353"/>
      <c r="BK586" s="353"/>
      <c r="BL586" s="353"/>
      <c r="BM586" s="14"/>
      <c r="BN586" s="14"/>
      <c r="BO586" s="14"/>
    </row>
    <row r="587" spans="1:67" ht="20.100000000000001" customHeight="1">
      <c r="A587" s="157"/>
      <c r="B587" s="1"/>
      <c r="C587" s="157"/>
      <c r="D587" s="1"/>
      <c r="E587" s="150"/>
      <c r="F587" s="150"/>
      <c r="G587" s="151"/>
      <c r="H587" s="150"/>
      <c r="I587" s="150"/>
      <c r="J587" s="151"/>
      <c r="K587" s="151"/>
      <c r="L587" s="150"/>
      <c r="M587" s="151"/>
      <c r="N587" s="151"/>
      <c r="O587" s="151"/>
      <c r="P587" s="150"/>
      <c r="Q587" s="150"/>
      <c r="R587" s="158"/>
      <c r="S587" s="158"/>
      <c r="T587" s="158"/>
      <c r="U587" s="158"/>
      <c r="V587" s="1"/>
      <c r="W587" s="1"/>
      <c r="X587" s="157"/>
      <c r="Y587" s="157"/>
      <c r="Z587" s="157"/>
      <c r="AA587" s="157"/>
      <c r="AB587" s="157"/>
      <c r="AC587" s="151"/>
      <c r="AD587" s="151"/>
      <c r="AE587" s="151"/>
      <c r="AF587" s="157"/>
      <c r="AG587" s="157"/>
      <c r="AH587" s="157"/>
      <c r="AI587" s="157"/>
      <c r="AJ587" s="157"/>
      <c r="AK587" s="157"/>
      <c r="AL587" s="157"/>
      <c r="AM587" s="157"/>
      <c r="AN587" s="159"/>
      <c r="AO587" s="159"/>
      <c r="AP587" s="160"/>
      <c r="AQ587" s="160"/>
      <c r="AR587" s="160"/>
      <c r="AS587" s="159"/>
      <c r="AT587" s="159"/>
      <c r="AU587" s="161"/>
      <c r="AV587" s="157"/>
      <c r="AW587" s="157"/>
      <c r="AX587" s="157"/>
      <c r="AY587" s="157"/>
      <c r="AZ587" s="157"/>
      <c r="BA587" s="157"/>
      <c r="BB587" s="157"/>
      <c r="BC587" s="151"/>
      <c r="BD587" s="157"/>
      <c r="BE587" s="157"/>
      <c r="BF587" s="157"/>
      <c r="BG587" s="157"/>
      <c r="BH587" s="157"/>
      <c r="BI587" s="157"/>
      <c r="BJ587" s="353"/>
      <c r="BK587" s="353"/>
      <c r="BL587" s="353"/>
      <c r="BM587" s="14"/>
      <c r="BN587" s="14"/>
      <c r="BO587" s="14"/>
    </row>
    <row r="588" spans="1:67" ht="20.100000000000001" customHeight="1">
      <c r="A588" s="157"/>
      <c r="B588" s="1"/>
      <c r="C588" s="157"/>
      <c r="D588" s="1"/>
      <c r="E588" s="150"/>
      <c r="F588" s="150"/>
      <c r="G588" s="151"/>
      <c r="H588" s="150"/>
      <c r="I588" s="150"/>
      <c r="J588" s="151"/>
      <c r="K588" s="151"/>
      <c r="L588" s="150"/>
      <c r="M588" s="151"/>
      <c r="N588" s="151"/>
      <c r="O588" s="151"/>
      <c r="P588" s="150"/>
      <c r="Q588" s="150"/>
      <c r="R588" s="158"/>
      <c r="S588" s="158"/>
      <c r="T588" s="158"/>
      <c r="U588" s="158"/>
      <c r="V588" s="1"/>
      <c r="W588" s="1"/>
      <c r="X588" s="157"/>
      <c r="Y588" s="157"/>
      <c r="Z588" s="157"/>
      <c r="AA588" s="157"/>
      <c r="AB588" s="157"/>
      <c r="AC588" s="151"/>
      <c r="AD588" s="151"/>
      <c r="AE588" s="151"/>
      <c r="AF588" s="157"/>
      <c r="AG588" s="157"/>
      <c r="AH588" s="157"/>
      <c r="AI588" s="157"/>
      <c r="AJ588" s="157"/>
      <c r="AK588" s="157"/>
      <c r="AL588" s="157"/>
      <c r="AM588" s="157"/>
      <c r="AN588" s="159"/>
      <c r="AO588" s="159"/>
      <c r="AP588" s="160"/>
      <c r="AQ588" s="160"/>
      <c r="AR588" s="160"/>
      <c r="AS588" s="159"/>
      <c r="AT588" s="159"/>
      <c r="AU588" s="161"/>
      <c r="AV588" s="157"/>
      <c r="AW588" s="157"/>
      <c r="AX588" s="157"/>
      <c r="AY588" s="157"/>
      <c r="AZ588" s="157"/>
      <c r="BA588" s="157"/>
      <c r="BB588" s="157"/>
      <c r="BC588" s="151"/>
      <c r="BD588" s="157"/>
      <c r="BE588" s="157"/>
      <c r="BF588" s="157"/>
      <c r="BG588" s="157"/>
      <c r="BH588" s="157"/>
      <c r="BI588" s="157"/>
      <c r="BJ588" s="353"/>
      <c r="BK588" s="353"/>
      <c r="BL588" s="353"/>
      <c r="BM588" s="14"/>
      <c r="BN588" s="14"/>
      <c r="BO588" s="14"/>
    </row>
    <row r="589" spans="1:67" ht="20.100000000000001" customHeight="1">
      <c r="A589" s="157"/>
      <c r="B589" s="1"/>
      <c r="C589" s="157"/>
      <c r="D589" s="1"/>
      <c r="E589" s="150"/>
      <c r="F589" s="150"/>
      <c r="G589" s="151"/>
      <c r="H589" s="150"/>
      <c r="I589" s="150"/>
      <c r="J589" s="151"/>
      <c r="K589" s="151"/>
      <c r="L589" s="150"/>
      <c r="M589" s="151"/>
      <c r="N589" s="151"/>
      <c r="O589" s="151"/>
      <c r="P589" s="150"/>
      <c r="Q589" s="150"/>
      <c r="R589" s="158"/>
      <c r="S589" s="158"/>
      <c r="T589" s="158"/>
      <c r="U589" s="158"/>
      <c r="V589" s="1"/>
      <c r="W589" s="1"/>
      <c r="X589" s="157"/>
      <c r="Y589" s="157"/>
      <c r="Z589" s="157"/>
      <c r="AA589" s="157"/>
      <c r="AB589" s="157"/>
      <c r="AC589" s="151"/>
      <c r="AD589" s="151"/>
      <c r="AE589" s="151"/>
      <c r="AF589" s="157"/>
      <c r="AG589" s="157"/>
      <c r="AH589" s="157"/>
      <c r="AI589" s="157"/>
      <c r="AJ589" s="157"/>
      <c r="AK589" s="157"/>
      <c r="AL589" s="157"/>
      <c r="AM589" s="157"/>
      <c r="AN589" s="159"/>
      <c r="AO589" s="159"/>
      <c r="AP589" s="160"/>
      <c r="AQ589" s="160"/>
      <c r="AR589" s="160"/>
      <c r="AS589" s="159"/>
      <c r="AT589" s="159"/>
      <c r="AU589" s="161"/>
      <c r="AV589" s="157"/>
      <c r="AW589" s="157"/>
      <c r="AX589" s="157"/>
      <c r="AY589" s="157"/>
      <c r="AZ589" s="157"/>
      <c r="BA589" s="157"/>
      <c r="BB589" s="157"/>
      <c r="BC589" s="151"/>
      <c r="BD589" s="157"/>
      <c r="BE589" s="157"/>
      <c r="BF589" s="157"/>
      <c r="BG589" s="157"/>
      <c r="BH589" s="157"/>
      <c r="BI589" s="157"/>
      <c r="BJ589" s="353"/>
      <c r="BK589" s="353"/>
      <c r="BL589" s="353"/>
      <c r="BM589" s="14"/>
      <c r="BN589" s="14"/>
      <c r="BO589" s="14"/>
    </row>
    <row r="590" spans="1:67" ht="20.100000000000001" customHeight="1">
      <c r="A590" s="157"/>
      <c r="B590" s="1"/>
      <c r="C590" s="157"/>
      <c r="D590" s="1"/>
      <c r="E590" s="150"/>
      <c r="F590" s="150"/>
      <c r="G590" s="151"/>
      <c r="H590" s="150"/>
      <c r="I590" s="150"/>
      <c r="J590" s="151"/>
      <c r="K590" s="151"/>
      <c r="L590" s="150"/>
      <c r="M590" s="151"/>
      <c r="N590" s="151"/>
      <c r="O590" s="151"/>
      <c r="P590" s="150"/>
      <c r="Q590" s="150"/>
      <c r="R590" s="158"/>
      <c r="S590" s="158"/>
      <c r="T590" s="158"/>
      <c r="U590" s="158"/>
      <c r="V590" s="1"/>
      <c r="W590" s="1"/>
      <c r="X590" s="157"/>
      <c r="Y590" s="157"/>
      <c r="Z590" s="157"/>
      <c r="AA590" s="157"/>
      <c r="AB590" s="157"/>
      <c r="AC590" s="151"/>
      <c r="AD590" s="151"/>
      <c r="AE590" s="151"/>
      <c r="AF590" s="157"/>
      <c r="AG590" s="157"/>
      <c r="AH590" s="157"/>
      <c r="AI590" s="157"/>
      <c r="AJ590" s="157"/>
      <c r="AK590" s="157"/>
      <c r="AL590" s="157"/>
      <c r="AM590" s="157"/>
      <c r="AN590" s="159"/>
      <c r="AO590" s="159"/>
      <c r="AP590" s="160"/>
      <c r="AQ590" s="160"/>
      <c r="AR590" s="160"/>
      <c r="AS590" s="159"/>
      <c r="AT590" s="159"/>
      <c r="AU590" s="161"/>
      <c r="AV590" s="157"/>
      <c r="AW590" s="157"/>
      <c r="AX590" s="157"/>
      <c r="AY590" s="157"/>
      <c r="AZ590" s="157"/>
      <c r="BA590" s="157"/>
      <c r="BB590" s="157"/>
      <c r="BC590" s="151"/>
      <c r="BD590" s="157"/>
      <c r="BE590" s="157"/>
      <c r="BF590" s="157"/>
      <c r="BG590" s="157"/>
      <c r="BH590" s="157"/>
      <c r="BI590" s="157"/>
      <c r="BJ590" s="353"/>
      <c r="BK590" s="353"/>
      <c r="BL590" s="353"/>
      <c r="BM590" s="14"/>
      <c r="BN590" s="14"/>
      <c r="BO590" s="14"/>
    </row>
    <row r="591" spans="1:67" ht="20.100000000000001" customHeight="1">
      <c r="A591" s="157"/>
      <c r="B591" s="1"/>
      <c r="C591" s="157"/>
      <c r="D591" s="1"/>
      <c r="E591" s="150"/>
      <c r="F591" s="150"/>
      <c r="G591" s="151"/>
      <c r="H591" s="150"/>
      <c r="I591" s="150"/>
      <c r="J591" s="151"/>
      <c r="K591" s="151"/>
      <c r="L591" s="150"/>
      <c r="M591" s="151"/>
      <c r="N591" s="151"/>
      <c r="O591" s="151"/>
      <c r="P591" s="150"/>
      <c r="Q591" s="150"/>
      <c r="R591" s="158"/>
      <c r="S591" s="158"/>
      <c r="T591" s="158"/>
      <c r="U591" s="158"/>
      <c r="V591" s="1"/>
      <c r="W591" s="1"/>
      <c r="X591" s="157"/>
      <c r="Y591" s="157"/>
      <c r="Z591" s="157"/>
      <c r="AA591" s="157"/>
      <c r="AB591" s="157"/>
      <c r="AC591" s="151"/>
      <c r="AD591" s="151"/>
      <c r="AE591" s="151"/>
      <c r="AF591" s="157"/>
      <c r="AG591" s="157"/>
      <c r="AH591" s="157"/>
      <c r="AI591" s="157"/>
      <c r="AJ591" s="157"/>
      <c r="AK591" s="157"/>
      <c r="AL591" s="157"/>
      <c r="AM591" s="157"/>
      <c r="AN591" s="159"/>
      <c r="AO591" s="159"/>
      <c r="AP591" s="160"/>
      <c r="AQ591" s="160"/>
      <c r="AR591" s="160"/>
      <c r="AS591" s="159"/>
      <c r="AT591" s="159"/>
      <c r="AU591" s="161"/>
      <c r="AV591" s="157"/>
      <c r="AW591" s="157"/>
      <c r="AX591" s="157"/>
      <c r="AY591" s="157"/>
      <c r="AZ591" s="157"/>
      <c r="BA591" s="157"/>
      <c r="BB591" s="157"/>
      <c r="BC591" s="151"/>
      <c r="BD591" s="157"/>
      <c r="BE591" s="157"/>
      <c r="BF591" s="157"/>
      <c r="BG591" s="157"/>
      <c r="BH591" s="157"/>
      <c r="BI591" s="157"/>
      <c r="BJ591" s="353"/>
      <c r="BK591" s="353"/>
      <c r="BL591" s="353"/>
      <c r="BM591" s="14"/>
      <c r="BN591" s="14"/>
      <c r="BO591" s="14"/>
    </row>
    <row r="592" spans="1:67" ht="20.100000000000001" customHeight="1">
      <c r="A592" s="157"/>
      <c r="B592" s="1"/>
      <c r="C592" s="157"/>
      <c r="D592" s="1"/>
      <c r="E592" s="150"/>
      <c r="F592" s="150"/>
      <c r="G592" s="151"/>
      <c r="H592" s="150"/>
      <c r="I592" s="150"/>
      <c r="J592" s="151"/>
      <c r="K592" s="151"/>
      <c r="L592" s="150"/>
      <c r="M592" s="151"/>
      <c r="N592" s="151"/>
      <c r="O592" s="151"/>
      <c r="P592" s="150"/>
      <c r="Q592" s="150"/>
      <c r="R592" s="158"/>
      <c r="S592" s="158"/>
      <c r="T592" s="158"/>
      <c r="U592" s="158"/>
      <c r="V592" s="1"/>
      <c r="W592" s="1"/>
      <c r="X592" s="157"/>
      <c r="Y592" s="157"/>
      <c r="Z592" s="157"/>
      <c r="AA592" s="157"/>
      <c r="AB592" s="157"/>
      <c r="AC592" s="151"/>
      <c r="AD592" s="151"/>
      <c r="AE592" s="151"/>
      <c r="AF592" s="157"/>
      <c r="AG592" s="157"/>
      <c r="AH592" s="157"/>
      <c r="AI592" s="157"/>
      <c r="AJ592" s="157"/>
      <c r="AK592" s="157"/>
      <c r="AL592" s="157"/>
      <c r="AM592" s="157"/>
      <c r="AN592" s="159"/>
      <c r="AO592" s="159"/>
      <c r="AP592" s="160"/>
      <c r="AQ592" s="160"/>
      <c r="AR592" s="160"/>
      <c r="AS592" s="159"/>
      <c r="AT592" s="159"/>
      <c r="AU592" s="161"/>
      <c r="AV592" s="157"/>
      <c r="AW592" s="157"/>
      <c r="AX592" s="157"/>
      <c r="AY592" s="157"/>
      <c r="AZ592" s="157"/>
      <c r="BA592" s="157"/>
      <c r="BB592" s="157"/>
      <c r="BC592" s="151"/>
      <c r="BD592" s="157"/>
      <c r="BE592" s="157"/>
      <c r="BF592" s="157"/>
      <c r="BG592" s="157"/>
      <c r="BH592" s="157"/>
      <c r="BI592" s="157"/>
      <c r="BJ592" s="353"/>
      <c r="BK592" s="353"/>
      <c r="BL592" s="353"/>
      <c r="BM592" s="14"/>
      <c r="BN592" s="14"/>
      <c r="BO592" s="14"/>
    </row>
    <row r="593" spans="1:67" ht="20.100000000000001" customHeight="1">
      <c r="A593" s="157"/>
      <c r="B593" s="1"/>
      <c r="C593" s="157"/>
      <c r="D593" s="1"/>
      <c r="E593" s="150"/>
      <c r="F593" s="150"/>
      <c r="G593" s="151"/>
      <c r="H593" s="150"/>
      <c r="I593" s="150"/>
      <c r="J593" s="151"/>
      <c r="K593" s="151"/>
      <c r="L593" s="150"/>
      <c r="M593" s="151"/>
      <c r="N593" s="151"/>
      <c r="O593" s="151"/>
      <c r="P593" s="150"/>
      <c r="Q593" s="150"/>
      <c r="R593" s="158"/>
      <c r="S593" s="158"/>
      <c r="T593" s="158"/>
      <c r="U593" s="158"/>
      <c r="V593" s="1"/>
      <c r="W593" s="1"/>
      <c r="X593" s="157"/>
      <c r="Y593" s="157"/>
      <c r="Z593" s="157"/>
      <c r="AA593" s="157"/>
      <c r="AB593" s="157"/>
      <c r="AC593" s="151"/>
      <c r="AD593" s="151"/>
      <c r="AE593" s="151"/>
      <c r="AF593" s="157"/>
      <c r="AG593" s="157"/>
      <c r="AH593" s="157"/>
      <c r="AI593" s="157"/>
      <c r="AJ593" s="157"/>
      <c r="AK593" s="157"/>
      <c r="AL593" s="157"/>
      <c r="AM593" s="157"/>
      <c r="AN593" s="159"/>
      <c r="AO593" s="159"/>
      <c r="AP593" s="160"/>
      <c r="AQ593" s="160"/>
      <c r="AR593" s="160"/>
      <c r="AS593" s="159"/>
      <c r="AT593" s="159"/>
      <c r="AU593" s="161"/>
      <c r="AV593" s="157"/>
      <c r="AW593" s="157"/>
      <c r="AX593" s="157"/>
      <c r="AY593" s="157"/>
      <c r="AZ593" s="157"/>
      <c r="BA593" s="157"/>
      <c r="BB593" s="157"/>
      <c r="BC593" s="151"/>
      <c r="BD593" s="157"/>
      <c r="BE593" s="157"/>
      <c r="BF593" s="157"/>
      <c r="BG593" s="157"/>
      <c r="BH593" s="157"/>
      <c r="BI593" s="157"/>
      <c r="BJ593" s="353"/>
      <c r="BK593" s="353"/>
      <c r="BL593" s="353"/>
      <c r="BM593" s="14"/>
      <c r="BN593" s="14"/>
      <c r="BO593" s="14"/>
    </row>
    <row r="594" spans="1:67" ht="20.100000000000001" customHeight="1">
      <c r="A594" s="157"/>
      <c r="B594" s="1"/>
      <c r="C594" s="157"/>
      <c r="D594" s="1"/>
      <c r="E594" s="150"/>
      <c r="F594" s="150"/>
      <c r="G594" s="151"/>
      <c r="H594" s="150"/>
      <c r="I594" s="150"/>
      <c r="J594" s="151"/>
      <c r="K594" s="151"/>
      <c r="L594" s="150"/>
      <c r="M594" s="151"/>
      <c r="N594" s="151"/>
      <c r="O594" s="151"/>
      <c r="P594" s="150"/>
      <c r="Q594" s="150"/>
      <c r="R594" s="158"/>
      <c r="S594" s="158"/>
      <c r="T594" s="158"/>
      <c r="U594" s="158"/>
      <c r="V594" s="1"/>
      <c r="W594" s="1"/>
      <c r="X594" s="157"/>
      <c r="Y594" s="157"/>
      <c r="Z594" s="157"/>
      <c r="AA594" s="157"/>
      <c r="AB594" s="157"/>
      <c r="AC594" s="151"/>
      <c r="AD594" s="151"/>
      <c r="AE594" s="151"/>
      <c r="AF594" s="157"/>
      <c r="AG594" s="157"/>
      <c r="AH594" s="157"/>
      <c r="AI594" s="157"/>
      <c r="AJ594" s="157"/>
      <c r="AK594" s="157"/>
      <c r="AL594" s="157"/>
      <c r="AM594" s="157"/>
      <c r="AN594" s="159"/>
      <c r="AO594" s="159"/>
      <c r="AP594" s="160"/>
      <c r="AQ594" s="160"/>
      <c r="AR594" s="160"/>
      <c r="AS594" s="159"/>
      <c r="AT594" s="159"/>
      <c r="AU594" s="161"/>
      <c r="AV594" s="157"/>
      <c r="AW594" s="157"/>
      <c r="AX594" s="157"/>
      <c r="AY594" s="157"/>
      <c r="AZ594" s="157"/>
      <c r="BA594" s="157"/>
      <c r="BB594" s="157"/>
      <c r="BC594" s="151"/>
      <c r="BD594" s="157"/>
      <c r="BE594" s="157"/>
      <c r="BF594" s="157"/>
      <c r="BG594" s="157"/>
      <c r="BH594" s="157"/>
      <c r="BI594" s="157"/>
      <c r="BJ594" s="353"/>
      <c r="BK594" s="353"/>
      <c r="BL594" s="353"/>
      <c r="BM594" s="14"/>
      <c r="BN594" s="14"/>
      <c r="BO594" s="14"/>
    </row>
    <row r="595" spans="1:67" ht="20.100000000000001" customHeight="1">
      <c r="A595" s="157"/>
      <c r="B595" s="1"/>
      <c r="C595" s="157"/>
      <c r="D595" s="1"/>
      <c r="E595" s="150"/>
      <c r="F595" s="150"/>
      <c r="G595" s="151"/>
      <c r="H595" s="150"/>
      <c r="I595" s="150"/>
      <c r="J595" s="151"/>
      <c r="K595" s="151"/>
      <c r="L595" s="150"/>
      <c r="M595" s="151"/>
      <c r="N595" s="151"/>
      <c r="O595" s="151"/>
      <c r="P595" s="150"/>
      <c r="Q595" s="150"/>
      <c r="R595" s="158"/>
      <c r="S595" s="158"/>
      <c r="T595" s="158"/>
      <c r="U595" s="158"/>
      <c r="V595" s="1"/>
      <c r="W595" s="1"/>
      <c r="X595" s="157"/>
      <c r="Y595" s="157"/>
      <c r="Z595" s="157"/>
      <c r="AA595" s="157"/>
      <c r="AB595" s="157"/>
      <c r="AC595" s="151"/>
      <c r="AD595" s="151"/>
      <c r="AE595" s="151"/>
      <c r="AF595" s="157"/>
      <c r="AG595" s="157"/>
      <c r="AH595" s="157"/>
      <c r="AI595" s="157"/>
      <c r="AJ595" s="157"/>
      <c r="AK595" s="157"/>
      <c r="AL595" s="157"/>
      <c r="AM595" s="157"/>
      <c r="AN595" s="159"/>
      <c r="AO595" s="159"/>
      <c r="AP595" s="160"/>
      <c r="AQ595" s="160"/>
      <c r="AR595" s="160"/>
      <c r="AS595" s="159"/>
      <c r="AT595" s="159"/>
      <c r="AU595" s="161"/>
      <c r="AV595" s="157"/>
      <c r="AW595" s="157"/>
      <c r="AX595" s="157"/>
      <c r="AY595" s="157"/>
      <c r="AZ595" s="157"/>
      <c r="BA595" s="157"/>
      <c r="BB595" s="157"/>
      <c r="BC595" s="151"/>
      <c r="BD595" s="157"/>
      <c r="BE595" s="157"/>
      <c r="BF595" s="157"/>
      <c r="BG595" s="157"/>
      <c r="BH595" s="157"/>
      <c r="BI595" s="157"/>
      <c r="BJ595" s="353"/>
      <c r="BK595" s="353"/>
      <c r="BL595" s="353"/>
      <c r="BM595" s="14"/>
      <c r="BN595" s="14"/>
      <c r="BO595" s="14"/>
    </row>
    <row r="596" spans="1:67" ht="20.100000000000001" customHeight="1">
      <c r="A596" s="157"/>
      <c r="B596" s="1"/>
      <c r="C596" s="157"/>
      <c r="D596" s="1"/>
      <c r="E596" s="150"/>
      <c r="F596" s="150"/>
      <c r="G596" s="151"/>
      <c r="H596" s="150"/>
      <c r="I596" s="150"/>
      <c r="J596" s="151"/>
      <c r="K596" s="151"/>
      <c r="L596" s="150"/>
      <c r="M596" s="151"/>
      <c r="N596" s="151"/>
      <c r="O596" s="151"/>
      <c r="P596" s="150"/>
      <c r="Q596" s="150"/>
      <c r="R596" s="158"/>
      <c r="S596" s="158"/>
      <c r="T596" s="158"/>
      <c r="U596" s="158"/>
      <c r="V596" s="1"/>
      <c r="W596" s="1"/>
      <c r="X596" s="157"/>
      <c r="Y596" s="157"/>
      <c r="Z596" s="157"/>
      <c r="AA596" s="157"/>
      <c r="AB596" s="157"/>
      <c r="AC596" s="151"/>
      <c r="AD596" s="151"/>
      <c r="AE596" s="151"/>
      <c r="AF596" s="157"/>
      <c r="AG596" s="157"/>
      <c r="AH596" s="157"/>
      <c r="AI596" s="157"/>
      <c r="AJ596" s="157"/>
      <c r="AK596" s="157"/>
      <c r="AL596" s="157"/>
      <c r="AM596" s="157"/>
      <c r="AN596" s="159"/>
      <c r="AO596" s="159"/>
      <c r="AP596" s="160"/>
      <c r="AQ596" s="160"/>
      <c r="AR596" s="160"/>
      <c r="AS596" s="159"/>
      <c r="AT596" s="159"/>
      <c r="AU596" s="161"/>
      <c r="AV596" s="157"/>
      <c r="AW596" s="157"/>
      <c r="AX596" s="157"/>
      <c r="AY596" s="157"/>
      <c r="AZ596" s="157"/>
      <c r="BA596" s="157"/>
      <c r="BB596" s="157"/>
      <c r="BC596" s="151"/>
      <c r="BD596" s="157"/>
      <c r="BE596" s="157"/>
      <c r="BF596" s="157"/>
      <c r="BG596" s="157"/>
      <c r="BH596" s="157"/>
      <c r="BI596" s="157"/>
      <c r="BJ596" s="353"/>
      <c r="BK596" s="353"/>
      <c r="BL596" s="353"/>
      <c r="BM596" s="14"/>
      <c r="BN596" s="14"/>
      <c r="BO596" s="14"/>
    </row>
    <row r="597" spans="1:67" ht="20.100000000000001" customHeight="1">
      <c r="A597" s="157"/>
      <c r="B597" s="1"/>
      <c r="C597" s="157"/>
      <c r="D597" s="1"/>
      <c r="E597" s="150"/>
      <c r="F597" s="150"/>
      <c r="G597" s="151"/>
      <c r="H597" s="150"/>
      <c r="I597" s="150"/>
      <c r="J597" s="151"/>
      <c r="K597" s="151"/>
      <c r="L597" s="150"/>
      <c r="M597" s="151"/>
      <c r="N597" s="151"/>
      <c r="O597" s="151"/>
      <c r="P597" s="150"/>
      <c r="Q597" s="150"/>
      <c r="R597" s="158"/>
      <c r="S597" s="158"/>
      <c r="T597" s="158"/>
      <c r="U597" s="158"/>
      <c r="V597" s="1"/>
      <c r="W597" s="1"/>
      <c r="X597" s="157"/>
      <c r="Y597" s="157"/>
      <c r="Z597" s="157"/>
      <c r="AA597" s="157"/>
      <c r="AB597" s="157"/>
      <c r="AC597" s="151"/>
      <c r="AD597" s="151"/>
      <c r="AE597" s="151"/>
      <c r="AF597" s="157"/>
      <c r="AG597" s="157"/>
      <c r="AH597" s="157"/>
      <c r="AI597" s="157"/>
      <c r="AJ597" s="157"/>
      <c r="AK597" s="157"/>
      <c r="AL597" s="157"/>
      <c r="AM597" s="157"/>
      <c r="AN597" s="159"/>
      <c r="AO597" s="159"/>
      <c r="AP597" s="160"/>
      <c r="AQ597" s="160"/>
      <c r="AR597" s="160"/>
      <c r="AS597" s="159"/>
      <c r="AT597" s="159"/>
      <c r="AU597" s="161"/>
      <c r="AV597" s="157"/>
      <c r="AW597" s="157"/>
      <c r="AX597" s="157"/>
      <c r="AY597" s="157"/>
      <c r="AZ597" s="157"/>
      <c r="BA597" s="157"/>
      <c r="BB597" s="157"/>
      <c r="BC597" s="151"/>
      <c r="BD597" s="157"/>
      <c r="BE597" s="157"/>
      <c r="BF597" s="157"/>
      <c r="BG597" s="157"/>
      <c r="BH597" s="157"/>
      <c r="BI597" s="157"/>
      <c r="BJ597" s="353"/>
      <c r="BK597" s="353"/>
      <c r="BL597" s="353"/>
      <c r="BM597" s="14"/>
      <c r="BN597" s="14"/>
      <c r="BO597" s="14"/>
    </row>
    <row r="598" spans="1:67" ht="20.100000000000001" customHeight="1">
      <c r="A598" s="157"/>
      <c r="B598" s="1"/>
      <c r="C598" s="157"/>
      <c r="D598" s="1"/>
      <c r="E598" s="150"/>
      <c r="F598" s="150"/>
      <c r="G598" s="151"/>
      <c r="H598" s="150"/>
      <c r="I598" s="150"/>
      <c r="J598" s="151"/>
      <c r="K598" s="151"/>
      <c r="L598" s="150"/>
      <c r="M598" s="151"/>
      <c r="N598" s="151"/>
      <c r="O598" s="151"/>
      <c r="P598" s="150"/>
      <c r="Q598" s="150"/>
      <c r="R598" s="158"/>
      <c r="S598" s="158"/>
      <c r="T598" s="158"/>
      <c r="U598" s="158"/>
      <c r="V598" s="1"/>
      <c r="W598" s="1"/>
      <c r="X598" s="157"/>
      <c r="Y598" s="157"/>
      <c r="Z598" s="157"/>
      <c r="AA598" s="157"/>
      <c r="AB598" s="157"/>
      <c r="AC598" s="151"/>
      <c r="AD598" s="151"/>
      <c r="AE598" s="151"/>
      <c r="AF598" s="157"/>
      <c r="AG598" s="157"/>
      <c r="AH598" s="157"/>
      <c r="AI598" s="157"/>
      <c r="AJ598" s="157"/>
      <c r="AK598" s="157"/>
      <c r="AL598" s="157"/>
      <c r="AM598" s="157"/>
      <c r="AN598" s="159"/>
      <c r="AO598" s="159"/>
      <c r="AP598" s="160"/>
      <c r="AQ598" s="160"/>
      <c r="AR598" s="160"/>
      <c r="AS598" s="159"/>
      <c r="AT598" s="159"/>
      <c r="AU598" s="161"/>
      <c r="AV598" s="157"/>
      <c r="AW598" s="157"/>
      <c r="AX598" s="157"/>
      <c r="AY598" s="157"/>
      <c r="AZ598" s="157"/>
      <c r="BA598" s="157"/>
      <c r="BB598" s="157"/>
      <c r="BC598" s="151"/>
      <c r="BD598" s="157"/>
      <c r="BE598" s="157"/>
      <c r="BF598" s="157"/>
      <c r="BG598" s="157"/>
      <c r="BH598" s="157"/>
      <c r="BI598" s="157"/>
      <c r="BJ598" s="353"/>
      <c r="BK598" s="353"/>
      <c r="BL598" s="353"/>
      <c r="BM598" s="14"/>
      <c r="BN598" s="14"/>
      <c r="BO598" s="14"/>
    </row>
    <row r="599" spans="1:67" ht="20.100000000000001" customHeight="1">
      <c r="A599" s="157"/>
      <c r="B599" s="1"/>
      <c r="C599" s="157"/>
      <c r="D599" s="1"/>
      <c r="E599" s="150"/>
      <c r="F599" s="150"/>
      <c r="G599" s="151"/>
      <c r="H599" s="150"/>
      <c r="I599" s="150"/>
      <c r="J599" s="151"/>
      <c r="K599" s="151"/>
      <c r="L599" s="150"/>
      <c r="M599" s="151"/>
      <c r="N599" s="151"/>
      <c r="O599" s="151"/>
      <c r="P599" s="150"/>
      <c r="Q599" s="150"/>
      <c r="R599" s="158"/>
      <c r="S599" s="158"/>
      <c r="T599" s="158"/>
      <c r="U599" s="158"/>
      <c r="V599" s="1"/>
      <c r="W599" s="1"/>
      <c r="X599" s="157"/>
      <c r="Y599" s="157"/>
      <c r="Z599" s="157"/>
      <c r="AA599" s="157"/>
      <c r="AB599" s="157"/>
      <c r="AC599" s="151"/>
      <c r="AD599" s="151"/>
      <c r="AE599" s="151"/>
      <c r="AF599" s="157"/>
      <c r="AG599" s="157"/>
      <c r="AH599" s="157"/>
      <c r="AI599" s="157"/>
      <c r="AJ599" s="157"/>
      <c r="AK599" s="157"/>
      <c r="AL599" s="157"/>
      <c r="AM599" s="157"/>
      <c r="AN599" s="159"/>
      <c r="AO599" s="159"/>
      <c r="AP599" s="160"/>
      <c r="AQ599" s="160"/>
      <c r="AR599" s="160"/>
      <c r="AS599" s="159"/>
      <c r="AT599" s="159"/>
      <c r="AU599" s="161"/>
      <c r="AV599" s="157"/>
      <c r="AW599" s="157"/>
      <c r="AX599" s="157"/>
      <c r="AY599" s="157"/>
      <c r="AZ599" s="157"/>
      <c r="BA599" s="157"/>
      <c r="BB599" s="157"/>
      <c r="BC599" s="151"/>
      <c r="BD599" s="157"/>
      <c r="BE599" s="157"/>
      <c r="BF599" s="157"/>
      <c r="BG599" s="157"/>
      <c r="BH599" s="157"/>
      <c r="BI599" s="157"/>
      <c r="BJ599" s="353"/>
      <c r="BK599" s="353"/>
      <c r="BL599" s="353"/>
      <c r="BM599" s="14"/>
      <c r="BN599" s="14"/>
      <c r="BO599" s="14"/>
    </row>
    <row r="600" spans="1:67" ht="20.100000000000001" customHeight="1">
      <c r="A600" s="157"/>
      <c r="B600" s="1"/>
      <c r="C600" s="157"/>
      <c r="D600" s="1"/>
      <c r="E600" s="150"/>
      <c r="F600" s="150"/>
      <c r="G600" s="151"/>
      <c r="H600" s="150"/>
      <c r="I600" s="150"/>
      <c r="J600" s="151"/>
      <c r="K600" s="151"/>
      <c r="L600" s="150"/>
      <c r="M600" s="151"/>
      <c r="N600" s="151"/>
      <c r="O600" s="151"/>
      <c r="P600" s="150"/>
      <c r="Q600" s="150"/>
      <c r="R600" s="158"/>
      <c r="S600" s="158"/>
      <c r="T600" s="158"/>
      <c r="U600" s="158"/>
      <c r="V600" s="1"/>
      <c r="W600" s="1"/>
      <c r="X600" s="157"/>
      <c r="Y600" s="157"/>
      <c r="Z600" s="157"/>
      <c r="AA600" s="157"/>
      <c r="AB600" s="157"/>
      <c r="AC600" s="151"/>
      <c r="AD600" s="151"/>
      <c r="AE600" s="151"/>
      <c r="AF600" s="157"/>
      <c r="AG600" s="157"/>
      <c r="AH600" s="157"/>
      <c r="AI600" s="157"/>
      <c r="AJ600" s="157"/>
      <c r="AK600" s="157"/>
      <c r="AL600" s="157"/>
      <c r="AM600" s="157"/>
      <c r="AN600" s="159"/>
      <c r="AO600" s="159"/>
      <c r="AP600" s="160"/>
      <c r="AQ600" s="160"/>
      <c r="AR600" s="160"/>
      <c r="AS600" s="159"/>
      <c r="AT600" s="159"/>
      <c r="AU600" s="161"/>
      <c r="AV600" s="157"/>
      <c r="AW600" s="157"/>
      <c r="AX600" s="157"/>
      <c r="AY600" s="157"/>
      <c r="AZ600" s="157"/>
      <c r="BA600" s="157"/>
      <c r="BB600" s="157"/>
      <c r="BC600" s="151"/>
      <c r="BD600" s="157"/>
      <c r="BE600" s="157"/>
      <c r="BF600" s="157"/>
      <c r="BG600" s="157"/>
      <c r="BH600" s="157"/>
      <c r="BI600" s="157"/>
      <c r="BJ600" s="353"/>
      <c r="BK600" s="353"/>
      <c r="BL600" s="353"/>
      <c r="BM600" s="14"/>
      <c r="BN600" s="14"/>
      <c r="BO600" s="14"/>
    </row>
    <row r="601" spans="1:67" ht="20.100000000000001" customHeight="1">
      <c r="A601" s="157"/>
      <c r="B601" s="1"/>
      <c r="C601" s="157"/>
      <c r="D601" s="1"/>
      <c r="E601" s="150"/>
      <c r="F601" s="150"/>
      <c r="G601" s="151"/>
      <c r="H601" s="150"/>
      <c r="I601" s="150"/>
      <c r="J601" s="151"/>
      <c r="K601" s="151"/>
      <c r="L601" s="150"/>
      <c r="M601" s="151"/>
      <c r="N601" s="151"/>
      <c r="O601" s="151"/>
      <c r="P601" s="150"/>
      <c r="Q601" s="150"/>
      <c r="R601" s="158"/>
      <c r="S601" s="158"/>
      <c r="T601" s="158"/>
      <c r="U601" s="158"/>
      <c r="V601" s="1"/>
      <c r="W601" s="1"/>
      <c r="X601" s="157"/>
      <c r="Y601" s="157"/>
      <c r="Z601" s="157"/>
      <c r="AA601" s="157"/>
      <c r="AB601" s="157"/>
      <c r="AC601" s="151"/>
      <c r="AD601" s="151"/>
      <c r="AE601" s="151"/>
      <c r="AF601" s="157"/>
      <c r="AG601" s="157"/>
      <c r="AH601" s="157"/>
      <c r="AI601" s="157"/>
      <c r="AJ601" s="157"/>
      <c r="AK601" s="157"/>
      <c r="AL601" s="157"/>
      <c r="AM601" s="157"/>
      <c r="AN601" s="159"/>
      <c r="AO601" s="159"/>
      <c r="AP601" s="160"/>
      <c r="AQ601" s="160"/>
      <c r="AR601" s="160"/>
      <c r="AS601" s="159"/>
      <c r="AT601" s="159"/>
      <c r="AU601" s="161"/>
      <c r="AV601" s="157"/>
      <c r="AW601" s="157"/>
      <c r="AX601" s="157"/>
      <c r="AY601" s="157"/>
      <c r="AZ601" s="157"/>
      <c r="BA601" s="157"/>
      <c r="BB601" s="157"/>
      <c r="BC601" s="151"/>
      <c r="BD601" s="157"/>
      <c r="BE601" s="157"/>
      <c r="BF601" s="157"/>
      <c r="BG601" s="157"/>
      <c r="BH601" s="157"/>
      <c r="BI601" s="157"/>
      <c r="BJ601" s="353"/>
      <c r="BK601" s="353"/>
      <c r="BL601" s="353"/>
      <c r="BM601" s="14"/>
      <c r="BN601" s="14"/>
      <c r="BO601" s="14"/>
    </row>
    <row r="602" spans="1:67" ht="20.100000000000001" customHeight="1">
      <c r="A602" s="157"/>
      <c r="B602" s="1"/>
      <c r="C602" s="157"/>
      <c r="D602" s="1"/>
      <c r="E602" s="150"/>
      <c r="F602" s="150"/>
      <c r="G602" s="151"/>
      <c r="H602" s="150"/>
      <c r="I602" s="150"/>
      <c r="J602" s="151"/>
      <c r="K602" s="151"/>
      <c r="L602" s="150"/>
      <c r="M602" s="151"/>
      <c r="N602" s="151"/>
      <c r="O602" s="151"/>
      <c r="P602" s="150"/>
      <c r="Q602" s="150"/>
      <c r="R602" s="158"/>
      <c r="S602" s="158"/>
      <c r="T602" s="158"/>
      <c r="U602" s="158"/>
      <c r="V602" s="1"/>
      <c r="W602" s="1"/>
      <c r="X602" s="157"/>
      <c r="Y602" s="157"/>
      <c r="Z602" s="157"/>
      <c r="AA602" s="157"/>
      <c r="AB602" s="157"/>
      <c r="AC602" s="151"/>
      <c r="AD602" s="151"/>
      <c r="AE602" s="151"/>
      <c r="AF602" s="157"/>
      <c r="AG602" s="157"/>
      <c r="AH602" s="157"/>
      <c r="AI602" s="157"/>
      <c r="AJ602" s="157"/>
      <c r="AK602" s="157"/>
      <c r="AL602" s="157"/>
      <c r="AM602" s="157"/>
      <c r="AN602" s="159"/>
      <c r="AO602" s="159"/>
      <c r="AP602" s="160"/>
      <c r="AQ602" s="160"/>
      <c r="AR602" s="160"/>
      <c r="AS602" s="159"/>
      <c r="AT602" s="159"/>
      <c r="AU602" s="161"/>
      <c r="AV602" s="157"/>
      <c r="AW602" s="157"/>
      <c r="AX602" s="157"/>
      <c r="AY602" s="157"/>
      <c r="AZ602" s="157"/>
      <c r="BA602" s="157"/>
      <c r="BB602" s="157"/>
      <c r="BC602" s="151"/>
      <c r="BD602" s="157"/>
      <c r="BE602" s="157"/>
      <c r="BF602" s="157"/>
      <c r="BG602" s="157"/>
      <c r="BH602" s="157"/>
      <c r="BI602" s="157"/>
      <c r="BJ602" s="353"/>
      <c r="BK602" s="353"/>
      <c r="BL602" s="353"/>
      <c r="BM602" s="14"/>
      <c r="BN602" s="14"/>
      <c r="BO602" s="14"/>
    </row>
    <row r="603" spans="1:67" ht="20.100000000000001" customHeight="1">
      <c r="A603" s="157"/>
      <c r="B603" s="1"/>
      <c r="C603" s="157"/>
      <c r="D603" s="1"/>
      <c r="E603" s="150"/>
      <c r="F603" s="150"/>
      <c r="G603" s="151"/>
      <c r="H603" s="150"/>
      <c r="I603" s="150"/>
      <c r="J603" s="151"/>
      <c r="K603" s="151"/>
      <c r="L603" s="150"/>
      <c r="M603" s="151"/>
      <c r="N603" s="151"/>
      <c r="O603" s="151"/>
      <c r="P603" s="150"/>
      <c r="Q603" s="150"/>
      <c r="R603" s="158"/>
      <c r="S603" s="158"/>
      <c r="T603" s="158"/>
      <c r="U603" s="158"/>
      <c r="V603" s="1"/>
      <c r="W603" s="1"/>
      <c r="X603" s="157"/>
      <c r="Y603" s="157"/>
      <c r="Z603" s="157"/>
      <c r="AA603" s="157"/>
      <c r="AB603" s="157"/>
      <c r="AC603" s="151"/>
      <c r="AD603" s="151"/>
      <c r="AE603" s="151"/>
      <c r="AF603" s="157"/>
      <c r="AG603" s="157"/>
      <c r="AH603" s="157"/>
      <c r="AI603" s="157"/>
      <c r="AJ603" s="157"/>
      <c r="AK603" s="157"/>
      <c r="AL603" s="157"/>
      <c r="AM603" s="157"/>
      <c r="AN603" s="159"/>
      <c r="AO603" s="159"/>
      <c r="AP603" s="160"/>
      <c r="AQ603" s="160"/>
      <c r="AR603" s="160"/>
      <c r="AS603" s="159"/>
      <c r="AT603" s="159"/>
      <c r="AU603" s="161"/>
      <c r="AV603" s="157"/>
      <c r="AW603" s="157"/>
      <c r="AX603" s="157"/>
      <c r="AY603" s="157"/>
      <c r="AZ603" s="157"/>
      <c r="BA603" s="157"/>
      <c r="BB603" s="157"/>
      <c r="BC603" s="151"/>
      <c r="BD603" s="157"/>
      <c r="BE603" s="157"/>
      <c r="BF603" s="157"/>
      <c r="BG603" s="157"/>
      <c r="BH603" s="157"/>
      <c r="BI603" s="157"/>
      <c r="BJ603" s="353"/>
      <c r="BK603" s="353"/>
      <c r="BL603" s="353"/>
      <c r="BM603" s="14"/>
      <c r="BN603" s="14"/>
      <c r="BO603" s="14"/>
    </row>
    <row r="604" spans="1:67" ht="20.100000000000001" customHeight="1">
      <c r="A604" s="157"/>
      <c r="B604" s="1"/>
      <c r="C604" s="157"/>
      <c r="D604" s="1"/>
      <c r="E604" s="150"/>
      <c r="F604" s="150"/>
      <c r="G604" s="151"/>
      <c r="H604" s="150"/>
      <c r="I604" s="150"/>
      <c r="J604" s="151"/>
      <c r="K604" s="151"/>
      <c r="L604" s="150"/>
      <c r="M604" s="151"/>
      <c r="N604" s="151"/>
      <c r="O604" s="151"/>
      <c r="P604" s="150"/>
      <c r="Q604" s="150"/>
      <c r="R604" s="158"/>
      <c r="S604" s="158"/>
      <c r="T604" s="158"/>
      <c r="U604" s="158"/>
      <c r="V604" s="1"/>
      <c r="W604" s="1"/>
      <c r="X604" s="157"/>
      <c r="Y604" s="157"/>
      <c r="Z604" s="157"/>
      <c r="AA604" s="157"/>
      <c r="AB604" s="157"/>
      <c r="AC604" s="151"/>
      <c r="AD604" s="151"/>
      <c r="AE604" s="151"/>
      <c r="AF604" s="157"/>
      <c r="AG604" s="157"/>
      <c r="AH604" s="157"/>
      <c r="AI604" s="157"/>
      <c r="AJ604" s="157"/>
      <c r="AK604" s="157"/>
      <c r="AL604" s="157"/>
      <c r="AM604" s="157"/>
      <c r="AN604" s="159"/>
      <c r="AO604" s="159"/>
      <c r="AP604" s="160"/>
      <c r="AQ604" s="160"/>
      <c r="AR604" s="160"/>
      <c r="AS604" s="159"/>
      <c r="AT604" s="159"/>
      <c r="AU604" s="161"/>
      <c r="AV604" s="157"/>
      <c r="AW604" s="157"/>
      <c r="AX604" s="157"/>
      <c r="AY604" s="157"/>
      <c r="AZ604" s="157"/>
      <c r="BA604" s="157"/>
      <c r="BB604" s="157"/>
      <c r="BC604" s="151"/>
      <c r="BD604" s="157"/>
      <c r="BE604" s="157"/>
      <c r="BF604" s="157"/>
      <c r="BG604" s="157"/>
      <c r="BH604" s="157"/>
      <c r="BI604" s="157"/>
      <c r="BJ604" s="353"/>
      <c r="BK604" s="353"/>
      <c r="BL604" s="353"/>
      <c r="BM604" s="14"/>
      <c r="BN604" s="14"/>
      <c r="BO604" s="14"/>
    </row>
    <row r="605" spans="1:67" ht="20.100000000000001" customHeight="1">
      <c r="A605" s="157"/>
      <c r="B605" s="1"/>
      <c r="C605" s="157"/>
      <c r="D605" s="1"/>
      <c r="E605" s="150"/>
      <c r="F605" s="150"/>
      <c r="G605" s="151"/>
      <c r="H605" s="150"/>
      <c r="I605" s="150"/>
      <c r="J605" s="151"/>
      <c r="K605" s="151"/>
      <c r="L605" s="150"/>
      <c r="M605" s="151"/>
      <c r="N605" s="151"/>
      <c r="O605" s="151"/>
      <c r="P605" s="150"/>
      <c r="Q605" s="150"/>
      <c r="R605" s="158"/>
      <c r="S605" s="158"/>
      <c r="T605" s="158"/>
      <c r="U605" s="158"/>
      <c r="V605" s="1"/>
      <c r="W605" s="1"/>
      <c r="X605" s="157"/>
      <c r="Y605" s="157"/>
      <c r="Z605" s="157"/>
      <c r="AA605" s="157"/>
      <c r="AB605" s="157"/>
      <c r="AC605" s="151"/>
      <c r="AD605" s="151"/>
      <c r="AE605" s="151"/>
      <c r="AF605" s="157"/>
      <c r="AG605" s="157"/>
      <c r="AH605" s="157"/>
      <c r="AI605" s="157"/>
      <c r="AJ605" s="157"/>
      <c r="AK605" s="157"/>
      <c r="AL605" s="157"/>
      <c r="AM605" s="157"/>
      <c r="AN605" s="159"/>
      <c r="AO605" s="159"/>
      <c r="AP605" s="160"/>
      <c r="AQ605" s="160"/>
      <c r="AR605" s="160"/>
      <c r="AS605" s="159"/>
      <c r="AT605" s="159"/>
      <c r="AU605" s="161"/>
      <c r="AV605" s="157"/>
      <c r="AW605" s="157"/>
      <c r="AX605" s="157"/>
      <c r="AY605" s="157"/>
      <c r="AZ605" s="157"/>
      <c r="BA605" s="157"/>
      <c r="BB605" s="157"/>
      <c r="BC605" s="151"/>
      <c r="BD605" s="157"/>
      <c r="BE605" s="157"/>
      <c r="BF605" s="157"/>
      <c r="BG605" s="157"/>
      <c r="BH605" s="157"/>
      <c r="BI605" s="157"/>
      <c r="BJ605" s="353"/>
      <c r="BK605" s="353"/>
      <c r="BL605" s="353"/>
      <c r="BM605" s="14"/>
      <c r="BN605" s="14"/>
      <c r="BO605" s="14"/>
    </row>
    <row r="606" spans="1:67" ht="20.100000000000001" customHeight="1">
      <c r="A606" s="157"/>
      <c r="B606" s="1"/>
      <c r="C606" s="157"/>
      <c r="D606" s="1"/>
      <c r="E606" s="150"/>
      <c r="F606" s="150"/>
      <c r="G606" s="151"/>
      <c r="H606" s="150"/>
      <c r="I606" s="150"/>
      <c r="J606" s="151"/>
      <c r="K606" s="151"/>
      <c r="L606" s="150"/>
      <c r="M606" s="151"/>
      <c r="N606" s="151"/>
      <c r="O606" s="151"/>
      <c r="P606" s="150"/>
      <c r="Q606" s="150"/>
      <c r="R606" s="158"/>
      <c r="S606" s="158"/>
      <c r="T606" s="158"/>
      <c r="U606" s="158"/>
      <c r="V606" s="1"/>
      <c r="W606" s="1"/>
      <c r="X606" s="157"/>
      <c r="Y606" s="157"/>
      <c r="Z606" s="157"/>
      <c r="AA606" s="157"/>
      <c r="AB606" s="157"/>
      <c r="AC606" s="151"/>
      <c r="AD606" s="151"/>
      <c r="AE606" s="151"/>
      <c r="AF606" s="157"/>
      <c r="AG606" s="157"/>
      <c r="AH606" s="157"/>
      <c r="AI606" s="157"/>
      <c r="AJ606" s="157"/>
      <c r="AK606" s="157"/>
      <c r="AL606" s="157"/>
      <c r="AM606" s="157"/>
      <c r="AN606" s="159"/>
      <c r="AO606" s="159"/>
      <c r="AP606" s="160"/>
      <c r="AQ606" s="160"/>
      <c r="AR606" s="160"/>
      <c r="AS606" s="159"/>
      <c r="AT606" s="159"/>
      <c r="AU606" s="161"/>
      <c r="AV606" s="157"/>
      <c r="AW606" s="157"/>
      <c r="AX606" s="157"/>
      <c r="AY606" s="157"/>
      <c r="AZ606" s="157"/>
      <c r="BA606" s="157"/>
      <c r="BB606" s="157"/>
      <c r="BC606" s="151"/>
      <c r="BD606" s="157"/>
      <c r="BE606" s="157"/>
      <c r="BF606" s="157"/>
      <c r="BG606" s="157"/>
      <c r="BH606" s="157"/>
      <c r="BI606" s="157"/>
      <c r="BJ606" s="353"/>
      <c r="BK606" s="353"/>
      <c r="BL606" s="353"/>
      <c r="BM606" s="14"/>
      <c r="BN606" s="14"/>
      <c r="BO606" s="14"/>
    </row>
    <row r="607" spans="1:67" ht="20.100000000000001" customHeight="1">
      <c r="A607" s="157"/>
      <c r="B607" s="1"/>
      <c r="C607" s="157"/>
      <c r="D607" s="1"/>
      <c r="E607" s="150"/>
      <c r="F607" s="150"/>
      <c r="G607" s="151"/>
      <c r="H607" s="150"/>
      <c r="I607" s="150"/>
      <c r="J607" s="151"/>
      <c r="K607" s="151"/>
      <c r="L607" s="150"/>
      <c r="M607" s="151"/>
      <c r="N607" s="151"/>
      <c r="O607" s="151"/>
      <c r="P607" s="150"/>
      <c r="Q607" s="150"/>
      <c r="R607" s="158"/>
      <c r="S607" s="158"/>
      <c r="T607" s="158"/>
      <c r="U607" s="158"/>
      <c r="V607" s="1"/>
      <c r="W607" s="1"/>
      <c r="X607" s="157"/>
      <c r="Y607" s="157"/>
      <c r="Z607" s="157"/>
      <c r="AA607" s="157"/>
      <c r="AB607" s="157"/>
      <c r="AC607" s="151"/>
      <c r="AD607" s="151"/>
      <c r="AE607" s="151"/>
      <c r="AF607" s="157"/>
      <c r="AG607" s="157"/>
      <c r="AH607" s="157"/>
      <c r="AI607" s="157"/>
      <c r="AJ607" s="157"/>
      <c r="AK607" s="157"/>
      <c r="AL607" s="157"/>
      <c r="AM607" s="157"/>
      <c r="AN607" s="159"/>
      <c r="AO607" s="159"/>
      <c r="AP607" s="160"/>
      <c r="AQ607" s="160"/>
      <c r="AR607" s="160"/>
      <c r="AS607" s="159"/>
      <c r="AT607" s="159"/>
      <c r="AU607" s="161"/>
      <c r="AV607" s="157"/>
      <c r="AW607" s="157"/>
      <c r="AX607" s="157"/>
      <c r="AY607" s="157"/>
      <c r="AZ607" s="157"/>
      <c r="BA607" s="157"/>
      <c r="BB607" s="157"/>
      <c r="BC607" s="151"/>
      <c r="BD607" s="157"/>
      <c r="BE607" s="157"/>
      <c r="BF607" s="157"/>
      <c r="BG607" s="157"/>
      <c r="BH607" s="157"/>
      <c r="BI607" s="157"/>
      <c r="BJ607" s="353"/>
      <c r="BK607" s="353"/>
      <c r="BL607" s="353"/>
      <c r="BM607" s="14"/>
      <c r="BN607" s="14"/>
      <c r="BO607" s="14"/>
    </row>
    <row r="608" spans="1:67" ht="20.100000000000001" customHeight="1">
      <c r="A608" s="157"/>
      <c r="B608" s="1"/>
      <c r="C608" s="157"/>
      <c r="D608" s="1"/>
      <c r="E608" s="150"/>
      <c r="F608" s="150"/>
      <c r="G608" s="151"/>
      <c r="H608" s="150"/>
      <c r="I608" s="150"/>
      <c r="J608" s="151"/>
      <c r="K608" s="151"/>
      <c r="L608" s="150"/>
      <c r="M608" s="151"/>
      <c r="N608" s="151"/>
      <c r="O608" s="151"/>
      <c r="P608" s="150"/>
      <c r="Q608" s="150"/>
      <c r="R608" s="158"/>
      <c r="S608" s="158"/>
      <c r="T608" s="158"/>
      <c r="U608" s="158"/>
      <c r="V608" s="1"/>
      <c r="W608" s="1"/>
      <c r="X608" s="157"/>
      <c r="Y608" s="157"/>
      <c r="Z608" s="157"/>
      <c r="AA608" s="157"/>
      <c r="AB608" s="157"/>
      <c r="AC608" s="151"/>
      <c r="AD608" s="151"/>
      <c r="AE608" s="151"/>
      <c r="AF608" s="157"/>
      <c r="AG608" s="157"/>
      <c r="AH608" s="157"/>
      <c r="AI608" s="157"/>
      <c r="AJ608" s="157"/>
      <c r="AK608" s="157"/>
      <c r="AL608" s="157"/>
      <c r="AM608" s="157"/>
      <c r="AN608" s="159"/>
      <c r="AO608" s="159"/>
      <c r="AP608" s="160"/>
      <c r="AQ608" s="160"/>
      <c r="AR608" s="160"/>
      <c r="AS608" s="159"/>
      <c r="AT608" s="159"/>
      <c r="AU608" s="161"/>
      <c r="AV608" s="157"/>
      <c r="AW608" s="157"/>
      <c r="AX608" s="157"/>
      <c r="AY608" s="157"/>
      <c r="AZ608" s="157"/>
      <c r="BA608" s="157"/>
      <c r="BB608" s="157"/>
      <c r="BC608" s="151"/>
      <c r="BD608" s="157"/>
      <c r="BE608" s="157"/>
      <c r="BF608" s="157"/>
      <c r="BG608" s="157"/>
      <c r="BH608" s="157"/>
      <c r="BI608" s="157"/>
      <c r="BJ608" s="353"/>
      <c r="BK608" s="353"/>
      <c r="BL608" s="353"/>
      <c r="BM608" s="14"/>
      <c r="BN608" s="14"/>
      <c r="BO608" s="14"/>
    </row>
    <row r="609" spans="1:67" ht="20.100000000000001" customHeight="1">
      <c r="A609" s="157"/>
      <c r="B609" s="1"/>
      <c r="C609" s="157"/>
      <c r="D609" s="1"/>
      <c r="E609" s="150"/>
      <c r="F609" s="150"/>
      <c r="G609" s="151"/>
      <c r="H609" s="150"/>
      <c r="I609" s="150"/>
      <c r="J609" s="151"/>
      <c r="K609" s="151"/>
      <c r="L609" s="150"/>
      <c r="M609" s="151"/>
      <c r="N609" s="151"/>
      <c r="O609" s="151"/>
      <c r="P609" s="150"/>
      <c r="Q609" s="150"/>
      <c r="R609" s="158"/>
      <c r="S609" s="158"/>
      <c r="T609" s="158"/>
      <c r="U609" s="158"/>
      <c r="V609" s="1"/>
      <c r="W609" s="1"/>
      <c r="X609" s="157"/>
      <c r="Y609" s="157"/>
      <c r="Z609" s="157"/>
      <c r="AA609" s="157"/>
      <c r="AB609" s="157"/>
      <c r="AC609" s="151"/>
      <c r="AD609" s="151"/>
      <c r="AE609" s="151"/>
      <c r="AF609" s="157"/>
      <c r="AG609" s="157"/>
      <c r="AH609" s="157"/>
      <c r="AI609" s="157"/>
      <c r="AJ609" s="157"/>
      <c r="AK609" s="157"/>
      <c r="AL609" s="157"/>
      <c r="AM609" s="157"/>
      <c r="AN609" s="159"/>
      <c r="AO609" s="159"/>
      <c r="AP609" s="160"/>
      <c r="AQ609" s="160"/>
      <c r="AR609" s="160"/>
      <c r="AS609" s="159"/>
      <c r="AT609" s="159"/>
      <c r="AU609" s="161"/>
      <c r="AV609" s="157"/>
      <c r="AW609" s="157"/>
      <c r="AX609" s="157"/>
      <c r="AY609" s="157"/>
      <c r="AZ609" s="157"/>
      <c r="BA609" s="157"/>
      <c r="BB609" s="157"/>
      <c r="BC609" s="151"/>
      <c r="BD609" s="157"/>
      <c r="BE609" s="157"/>
      <c r="BF609" s="157"/>
      <c r="BG609" s="157"/>
      <c r="BH609" s="157"/>
      <c r="BI609" s="157"/>
      <c r="BJ609" s="353"/>
      <c r="BK609" s="353"/>
      <c r="BL609" s="353"/>
      <c r="BM609" s="14"/>
      <c r="BN609" s="14"/>
      <c r="BO609" s="14"/>
    </row>
    <row r="610" spans="1:67" ht="20.100000000000001" customHeight="1">
      <c r="A610" s="157"/>
      <c r="B610" s="1"/>
      <c r="C610" s="157"/>
      <c r="D610" s="1"/>
      <c r="E610" s="150"/>
      <c r="F610" s="150"/>
      <c r="G610" s="151"/>
      <c r="H610" s="150"/>
      <c r="I610" s="150"/>
      <c r="J610" s="151"/>
      <c r="K610" s="151"/>
      <c r="L610" s="150"/>
      <c r="M610" s="151"/>
      <c r="N610" s="151"/>
      <c r="O610" s="151"/>
      <c r="P610" s="150"/>
      <c r="Q610" s="150"/>
      <c r="R610" s="158"/>
      <c r="S610" s="158"/>
      <c r="T610" s="158"/>
      <c r="U610" s="158"/>
      <c r="V610" s="1"/>
      <c r="W610" s="1"/>
      <c r="X610" s="157"/>
      <c r="Y610" s="157"/>
      <c r="Z610" s="157"/>
      <c r="AA610" s="157"/>
      <c r="AB610" s="157"/>
      <c r="AC610" s="151"/>
      <c r="AD610" s="151"/>
      <c r="AE610" s="151"/>
      <c r="AF610" s="157"/>
      <c r="AG610" s="157"/>
      <c r="AH610" s="157"/>
      <c r="AI610" s="157"/>
      <c r="AJ610" s="157"/>
      <c r="AK610" s="157"/>
      <c r="AL610" s="157"/>
      <c r="AM610" s="157"/>
      <c r="AN610" s="159"/>
      <c r="AO610" s="159"/>
      <c r="AP610" s="160"/>
      <c r="AQ610" s="160"/>
      <c r="AR610" s="160"/>
      <c r="AS610" s="159"/>
      <c r="AT610" s="159"/>
      <c r="AU610" s="161"/>
      <c r="AV610" s="157"/>
      <c r="AW610" s="157"/>
      <c r="AX610" s="157"/>
      <c r="AY610" s="157"/>
      <c r="AZ610" s="157"/>
      <c r="BA610" s="157"/>
      <c r="BB610" s="157"/>
      <c r="BC610" s="151"/>
      <c r="BD610" s="157"/>
      <c r="BE610" s="157"/>
      <c r="BF610" s="157"/>
      <c r="BG610" s="157"/>
      <c r="BH610" s="157"/>
      <c r="BI610" s="157"/>
      <c r="BJ610" s="353"/>
      <c r="BK610" s="353"/>
      <c r="BL610" s="353"/>
      <c r="BM610" s="14"/>
      <c r="BN610" s="14"/>
      <c r="BO610" s="14"/>
    </row>
    <row r="611" spans="1:67" ht="20.100000000000001" customHeight="1">
      <c r="A611" s="157"/>
      <c r="B611" s="1"/>
      <c r="C611" s="157"/>
      <c r="D611" s="1"/>
      <c r="E611" s="150"/>
      <c r="F611" s="150"/>
      <c r="G611" s="151"/>
      <c r="H611" s="150"/>
      <c r="I611" s="150"/>
      <c r="J611" s="151"/>
      <c r="K611" s="151"/>
      <c r="L611" s="150"/>
      <c r="M611" s="151"/>
      <c r="N611" s="151"/>
      <c r="O611" s="151"/>
      <c r="P611" s="150"/>
      <c r="Q611" s="150"/>
      <c r="R611" s="158"/>
      <c r="S611" s="158"/>
      <c r="T611" s="158"/>
      <c r="U611" s="158"/>
      <c r="V611" s="1"/>
      <c r="W611" s="1"/>
      <c r="X611" s="157"/>
      <c r="Y611" s="157"/>
      <c r="Z611" s="157"/>
      <c r="AA611" s="157"/>
      <c r="AB611" s="157"/>
      <c r="AC611" s="151"/>
      <c r="AD611" s="151"/>
      <c r="AE611" s="151"/>
      <c r="AF611" s="157"/>
      <c r="AG611" s="157"/>
      <c r="AH611" s="157"/>
      <c r="AI611" s="157"/>
      <c r="AJ611" s="157"/>
      <c r="AK611" s="157"/>
      <c r="AL611" s="157"/>
      <c r="AM611" s="157"/>
      <c r="AN611" s="159"/>
      <c r="AO611" s="159"/>
      <c r="AP611" s="160"/>
      <c r="AQ611" s="160"/>
      <c r="AR611" s="160"/>
      <c r="AS611" s="159"/>
      <c r="AT611" s="159"/>
      <c r="AU611" s="161"/>
      <c r="AV611" s="157"/>
      <c r="AW611" s="157"/>
      <c r="AX611" s="157"/>
      <c r="AY611" s="157"/>
      <c r="AZ611" s="157"/>
      <c r="BA611" s="157"/>
      <c r="BB611" s="157"/>
      <c r="BC611" s="151"/>
      <c r="BD611" s="157"/>
      <c r="BE611" s="157"/>
      <c r="BF611" s="157"/>
      <c r="BG611" s="157"/>
      <c r="BH611" s="157"/>
      <c r="BI611" s="157"/>
      <c r="BJ611" s="353"/>
      <c r="BK611" s="353"/>
      <c r="BL611" s="353"/>
      <c r="BM611" s="14"/>
      <c r="BN611" s="14"/>
      <c r="BO611" s="14"/>
    </row>
    <row r="612" spans="1:67" ht="20.100000000000001" customHeight="1">
      <c r="A612" s="157"/>
      <c r="B612" s="1"/>
      <c r="C612" s="157"/>
      <c r="D612" s="1"/>
      <c r="E612" s="150"/>
      <c r="F612" s="150"/>
      <c r="G612" s="151"/>
      <c r="H612" s="150"/>
      <c r="I612" s="150"/>
      <c r="J612" s="151"/>
      <c r="K612" s="151"/>
      <c r="L612" s="150"/>
      <c r="M612" s="151"/>
      <c r="N612" s="151"/>
      <c r="O612" s="151"/>
      <c r="P612" s="150"/>
      <c r="Q612" s="150"/>
      <c r="R612" s="158"/>
      <c r="S612" s="158"/>
      <c r="T612" s="158"/>
      <c r="U612" s="158"/>
      <c r="V612" s="1"/>
      <c r="W612" s="1"/>
      <c r="X612" s="157"/>
      <c r="Y612" s="157"/>
      <c r="Z612" s="157"/>
      <c r="AA612" s="157"/>
      <c r="AB612" s="157"/>
      <c r="AC612" s="151"/>
      <c r="AD612" s="151"/>
      <c r="AE612" s="151"/>
      <c r="AF612" s="157"/>
      <c r="AG612" s="157"/>
      <c r="AH612" s="157"/>
      <c r="AI612" s="157"/>
      <c r="AJ612" s="157"/>
      <c r="AK612" s="157"/>
      <c r="AL612" s="157"/>
      <c r="AM612" s="157"/>
      <c r="AN612" s="159"/>
      <c r="AO612" s="159"/>
      <c r="AP612" s="160"/>
      <c r="AQ612" s="160"/>
      <c r="AR612" s="160"/>
      <c r="AS612" s="159"/>
      <c r="AT612" s="159"/>
      <c r="AU612" s="161"/>
      <c r="AV612" s="157"/>
      <c r="AW612" s="157"/>
      <c r="AX612" s="157"/>
      <c r="AY612" s="157"/>
      <c r="AZ612" s="157"/>
      <c r="BA612" s="157"/>
      <c r="BB612" s="157"/>
      <c r="BC612" s="151"/>
      <c r="BD612" s="157"/>
      <c r="BE612" s="157"/>
      <c r="BF612" s="157"/>
      <c r="BG612" s="157"/>
      <c r="BH612" s="157"/>
      <c r="BI612" s="157"/>
      <c r="BJ612" s="353"/>
      <c r="BK612" s="353"/>
      <c r="BL612" s="353"/>
      <c r="BM612" s="14"/>
      <c r="BN612" s="14"/>
      <c r="BO612" s="14"/>
    </row>
    <row r="613" spans="1:67" ht="20.100000000000001" customHeight="1">
      <c r="A613" s="157"/>
      <c r="B613" s="1"/>
      <c r="C613" s="157"/>
      <c r="D613" s="1"/>
      <c r="E613" s="150"/>
      <c r="F613" s="150"/>
      <c r="G613" s="151"/>
      <c r="H613" s="150"/>
      <c r="I613" s="150"/>
      <c r="J613" s="151"/>
      <c r="K613" s="151"/>
      <c r="L613" s="150"/>
      <c r="M613" s="151"/>
      <c r="N613" s="151"/>
      <c r="O613" s="151"/>
      <c r="P613" s="150"/>
      <c r="Q613" s="150"/>
      <c r="R613" s="158"/>
      <c r="S613" s="158"/>
      <c r="T613" s="158"/>
      <c r="U613" s="158"/>
      <c r="V613" s="1"/>
      <c r="W613" s="1"/>
      <c r="X613" s="157"/>
      <c r="Y613" s="157"/>
      <c r="Z613" s="157"/>
      <c r="AA613" s="157"/>
      <c r="AB613" s="157"/>
      <c r="AC613" s="151"/>
      <c r="AD613" s="151"/>
      <c r="AE613" s="151"/>
      <c r="AF613" s="157"/>
      <c r="AG613" s="157"/>
      <c r="AH613" s="157"/>
      <c r="AI613" s="157"/>
      <c r="AJ613" s="157"/>
      <c r="AK613" s="157"/>
      <c r="AL613" s="157"/>
      <c r="AM613" s="157"/>
      <c r="AN613" s="159"/>
      <c r="AO613" s="159"/>
      <c r="AP613" s="160"/>
      <c r="AQ613" s="160"/>
      <c r="AR613" s="160"/>
      <c r="AS613" s="159"/>
      <c r="AT613" s="159"/>
      <c r="AU613" s="161"/>
      <c r="AV613" s="157"/>
      <c r="AW613" s="157"/>
      <c r="AX613" s="157"/>
      <c r="AY613" s="157"/>
      <c r="AZ613" s="157"/>
      <c r="BA613" s="157"/>
      <c r="BB613" s="157"/>
      <c r="BC613" s="151"/>
      <c r="BD613" s="157"/>
      <c r="BE613" s="157"/>
      <c r="BF613" s="157"/>
      <c r="BG613" s="157"/>
      <c r="BH613" s="157"/>
      <c r="BI613" s="157"/>
      <c r="BJ613" s="353"/>
      <c r="BK613" s="353"/>
      <c r="BL613" s="353"/>
      <c r="BM613" s="14"/>
      <c r="BN613" s="14"/>
      <c r="BO613" s="14"/>
    </row>
    <row r="614" spans="1:67" ht="20.100000000000001" customHeight="1">
      <c r="A614" s="157"/>
      <c r="B614" s="1"/>
      <c r="C614" s="157"/>
      <c r="D614" s="1"/>
      <c r="E614" s="150"/>
      <c r="F614" s="150"/>
      <c r="G614" s="151"/>
      <c r="H614" s="150"/>
      <c r="I614" s="150"/>
      <c r="J614" s="151"/>
      <c r="K614" s="151"/>
      <c r="L614" s="150"/>
      <c r="M614" s="151"/>
      <c r="N614" s="151"/>
      <c r="O614" s="151"/>
      <c r="P614" s="150"/>
      <c r="Q614" s="150"/>
      <c r="R614" s="158"/>
      <c r="S614" s="158"/>
      <c r="T614" s="158"/>
      <c r="U614" s="158"/>
      <c r="V614" s="1"/>
      <c r="W614" s="1"/>
      <c r="X614" s="157"/>
      <c r="Y614" s="157"/>
      <c r="Z614" s="157"/>
      <c r="AA614" s="157"/>
      <c r="AB614" s="157"/>
      <c r="AC614" s="151"/>
      <c r="AD614" s="151"/>
      <c r="AE614" s="151"/>
      <c r="AF614" s="157"/>
      <c r="AG614" s="157"/>
      <c r="AH614" s="157"/>
      <c r="AI614" s="157"/>
      <c r="AJ614" s="157"/>
      <c r="AK614" s="157"/>
      <c r="AL614" s="157"/>
      <c r="AM614" s="157"/>
      <c r="AN614" s="159"/>
      <c r="AO614" s="159"/>
      <c r="AP614" s="160"/>
      <c r="AQ614" s="160"/>
      <c r="AR614" s="160"/>
      <c r="AS614" s="159"/>
      <c r="AT614" s="159"/>
      <c r="AU614" s="161"/>
      <c r="AV614" s="157"/>
      <c r="AW614" s="157"/>
      <c r="AX614" s="157"/>
      <c r="AY614" s="157"/>
      <c r="AZ614" s="157"/>
      <c r="BA614" s="157"/>
      <c r="BB614" s="157"/>
      <c r="BC614" s="151"/>
      <c r="BD614" s="157"/>
      <c r="BE614" s="157"/>
      <c r="BF614" s="157"/>
      <c r="BG614" s="157"/>
      <c r="BH614" s="157"/>
      <c r="BI614" s="157"/>
      <c r="BJ614" s="353"/>
      <c r="BK614" s="353"/>
      <c r="BL614" s="353"/>
      <c r="BM614" s="14"/>
      <c r="BN614" s="14"/>
      <c r="BO614" s="14"/>
    </row>
    <row r="615" spans="1:67" ht="20.100000000000001" customHeight="1">
      <c r="A615" s="157"/>
      <c r="B615" s="1"/>
      <c r="C615" s="157"/>
      <c r="D615" s="1"/>
      <c r="E615" s="150"/>
      <c r="F615" s="150"/>
      <c r="G615" s="151"/>
      <c r="H615" s="150"/>
      <c r="I615" s="150"/>
      <c r="J615" s="151"/>
      <c r="K615" s="151"/>
      <c r="L615" s="150"/>
      <c r="M615" s="151"/>
      <c r="N615" s="151"/>
      <c r="O615" s="151"/>
      <c r="P615" s="150"/>
      <c r="Q615" s="150"/>
      <c r="R615" s="158"/>
      <c r="S615" s="158"/>
      <c r="T615" s="158"/>
      <c r="U615" s="158"/>
      <c r="V615" s="1"/>
      <c r="W615" s="1"/>
      <c r="X615" s="157"/>
      <c r="Y615" s="157"/>
      <c r="Z615" s="157"/>
      <c r="AA615" s="157"/>
      <c r="AB615" s="157"/>
      <c r="AC615" s="151"/>
      <c r="AD615" s="151"/>
      <c r="AE615" s="151"/>
      <c r="AF615" s="157"/>
      <c r="AG615" s="157"/>
      <c r="AH615" s="157"/>
      <c r="AI615" s="157"/>
      <c r="AJ615" s="157"/>
      <c r="AK615" s="157"/>
      <c r="AL615" s="157"/>
      <c r="AM615" s="157"/>
      <c r="AN615" s="159"/>
      <c r="AO615" s="159"/>
      <c r="AP615" s="160"/>
      <c r="AQ615" s="160"/>
      <c r="AR615" s="160"/>
      <c r="AS615" s="159"/>
      <c r="AT615" s="159"/>
      <c r="AU615" s="161"/>
      <c r="AV615" s="157"/>
      <c r="AW615" s="157"/>
      <c r="AX615" s="157"/>
      <c r="AY615" s="157"/>
      <c r="AZ615" s="157"/>
      <c r="BA615" s="157"/>
      <c r="BB615" s="157"/>
      <c r="BC615" s="151"/>
      <c r="BD615" s="157"/>
      <c r="BE615" s="157"/>
      <c r="BF615" s="157"/>
      <c r="BG615" s="157"/>
      <c r="BH615" s="157"/>
      <c r="BI615" s="157"/>
      <c r="BJ615" s="353"/>
      <c r="BK615" s="353"/>
      <c r="BL615" s="353"/>
      <c r="BM615" s="14"/>
      <c r="BN615" s="14"/>
      <c r="BO615" s="14"/>
    </row>
    <row r="616" spans="1:67" ht="20.100000000000001" customHeight="1">
      <c r="A616" s="157"/>
      <c r="B616" s="1"/>
      <c r="C616" s="157"/>
      <c r="D616" s="1"/>
      <c r="E616" s="150"/>
      <c r="F616" s="150"/>
      <c r="G616" s="151"/>
      <c r="H616" s="150"/>
      <c r="I616" s="150"/>
      <c r="J616" s="151"/>
      <c r="K616" s="151"/>
      <c r="L616" s="150"/>
      <c r="M616" s="151"/>
      <c r="N616" s="151"/>
      <c r="O616" s="151"/>
      <c r="P616" s="150"/>
      <c r="Q616" s="150"/>
      <c r="R616" s="158"/>
      <c r="S616" s="158"/>
      <c r="T616" s="158"/>
      <c r="U616" s="158"/>
      <c r="V616" s="1"/>
      <c r="W616" s="1"/>
      <c r="X616" s="157"/>
      <c r="Y616" s="157"/>
      <c r="Z616" s="157"/>
      <c r="AA616" s="157"/>
      <c r="AB616" s="157"/>
      <c r="AC616" s="151"/>
      <c r="AD616" s="151"/>
      <c r="AE616" s="151"/>
      <c r="AF616" s="157"/>
      <c r="AG616" s="157"/>
      <c r="AH616" s="157"/>
      <c r="AI616" s="157"/>
      <c r="AJ616" s="157"/>
      <c r="AK616" s="157"/>
      <c r="AL616" s="157"/>
      <c r="AM616" s="157"/>
      <c r="AN616" s="159"/>
      <c r="AO616" s="159"/>
      <c r="AP616" s="160"/>
      <c r="AQ616" s="160"/>
      <c r="AR616" s="160"/>
      <c r="AS616" s="159"/>
      <c r="AT616" s="159"/>
      <c r="AU616" s="161"/>
      <c r="AV616" s="157"/>
      <c r="AW616" s="157"/>
      <c r="AX616" s="157"/>
      <c r="AY616" s="157"/>
      <c r="AZ616" s="157"/>
      <c r="BA616" s="157"/>
      <c r="BB616" s="157"/>
      <c r="BC616" s="151"/>
      <c r="BD616" s="157"/>
      <c r="BE616" s="157"/>
      <c r="BF616" s="157"/>
      <c r="BG616" s="157"/>
      <c r="BH616" s="157"/>
      <c r="BI616" s="157"/>
      <c r="BJ616" s="353"/>
      <c r="BK616" s="353"/>
      <c r="BL616" s="353"/>
      <c r="BM616" s="14"/>
      <c r="BN616" s="14"/>
      <c r="BO616" s="14"/>
    </row>
    <row r="617" spans="1:67" ht="20.100000000000001" customHeight="1">
      <c r="A617" s="157"/>
      <c r="B617" s="1"/>
      <c r="C617" s="157"/>
      <c r="D617" s="1"/>
      <c r="E617" s="150"/>
      <c r="F617" s="150"/>
      <c r="G617" s="151"/>
      <c r="H617" s="150"/>
      <c r="I617" s="150"/>
      <c r="J617" s="151"/>
      <c r="K617" s="151"/>
      <c r="L617" s="150"/>
      <c r="M617" s="151"/>
      <c r="N617" s="151"/>
      <c r="O617" s="151"/>
      <c r="P617" s="150"/>
      <c r="Q617" s="150"/>
      <c r="R617" s="158"/>
      <c r="S617" s="158"/>
      <c r="T617" s="158"/>
      <c r="U617" s="158"/>
      <c r="V617" s="1"/>
      <c r="W617" s="1"/>
      <c r="X617" s="157"/>
      <c r="Y617" s="157"/>
      <c r="Z617" s="157"/>
      <c r="AA617" s="157"/>
      <c r="AB617" s="157"/>
      <c r="AC617" s="151"/>
      <c r="AD617" s="151"/>
      <c r="AE617" s="151"/>
      <c r="AF617" s="157"/>
      <c r="AG617" s="157"/>
      <c r="AH617" s="157"/>
      <c r="AI617" s="157"/>
      <c r="AJ617" s="157"/>
      <c r="AK617" s="157"/>
      <c r="AL617" s="157"/>
      <c r="AM617" s="157"/>
      <c r="AN617" s="159"/>
      <c r="AO617" s="159"/>
      <c r="AP617" s="160"/>
      <c r="AQ617" s="160"/>
      <c r="AR617" s="160"/>
      <c r="AS617" s="159"/>
      <c r="AT617" s="159"/>
      <c r="AU617" s="161"/>
      <c r="AV617" s="157"/>
      <c r="AW617" s="157"/>
      <c r="AX617" s="157"/>
      <c r="AY617" s="157"/>
      <c r="AZ617" s="157"/>
      <c r="BA617" s="157"/>
      <c r="BB617" s="157"/>
      <c r="BC617" s="151"/>
      <c r="BD617" s="157"/>
      <c r="BE617" s="157"/>
      <c r="BF617" s="157"/>
      <c r="BG617" s="157"/>
      <c r="BH617" s="157"/>
      <c r="BI617" s="157"/>
      <c r="BJ617" s="353"/>
      <c r="BK617" s="353"/>
      <c r="BL617" s="353"/>
      <c r="BM617" s="14"/>
      <c r="BN617" s="14"/>
      <c r="BO617" s="14"/>
    </row>
    <row r="618" spans="1:67" ht="20.100000000000001" customHeight="1">
      <c r="A618" s="157"/>
      <c r="B618" s="1"/>
      <c r="C618" s="157"/>
      <c r="D618" s="1"/>
      <c r="E618" s="150"/>
      <c r="F618" s="150"/>
      <c r="G618" s="151"/>
      <c r="H618" s="150"/>
      <c r="I618" s="150"/>
      <c r="J618" s="151"/>
      <c r="K618" s="151"/>
      <c r="L618" s="150"/>
      <c r="M618" s="151"/>
      <c r="N618" s="151"/>
      <c r="O618" s="151"/>
      <c r="P618" s="150"/>
      <c r="Q618" s="150"/>
      <c r="R618" s="158"/>
      <c r="S618" s="158"/>
      <c r="T618" s="158"/>
      <c r="U618" s="158"/>
      <c r="V618" s="1"/>
      <c r="W618" s="1"/>
      <c r="X618" s="157"/>
      <c r="Y618" s="157"/>
      <c r="Z618" s="157"/>
      <c r="AA618" s="157"/>
      <c r="AB618" s="157"/>
      <c r="AC618" s="151"/>
      <c r="AD618" s="151"/>
      <c r="AE618" s="151"/>
      <c r="AF618" s="157"/>
      <c r="AG618" s="157"/>
      <c r="AH618" s="157"/>
      <c r="AI618" s="157"/>
      <c r="AJ618" s="157"/>
      <c r="AK618" s="157"/>
      <c r="AL618" s="157"/>
      <c r="AM618" s="157"/>
      <c r="AN618" s="159"/>
      <c r="AO618" s="159"/>
      <c r="AP618" s="160"/>
      <c r="AQ618" s="160"/>
      <c r="AR618" s="160"/>
      <c r="AS618" s="159"/>
      <c r="AT618" s="159"/>
      <c r="AU618" s="161"/>
      <c r="AV618" s="157"/>
      <c r="AW618" s="157"/>
      <c r="AX618" s="157"/>
      <c r="AY618" s="157"/>
      <c r="AZ618" s="157"/>
      <c r="BA618" s="157"/>
      <c r="BB618" s="157"/>
      <c r="BC618" s="151"/>
      <c r="BD618" s="157"/>
      <c r="BE618" s="157"/>
      <c r="BF618" s="157"/>
      <c r="BG618" s="157"/>
      <c r="BH618" s="157"/>
      <c r="BI618" s="157"/>
      <c r="BJ618" s="353"/>
      <c r="BK618" s="353"/>
      <c r="BL618" s="353"/>
      <c r="BM618" s="14"/>
      <c r="BN618" s="14"/>
      <c r="BO618" s="14"/>
    </row>
    <row r="619" spans="1:67" ht="20.100000000000001" customHeight="1">
      <c r="A619" s="157"/>
      <c r="B619" s="1"/>
      <c r="C619" s="157"/>
      <c r="D619" s="1"/>
      <c r="E619" s="150"/>
      <c r="F619" s="150"/>
      <c r="G619" s="151"/>
      <c r="H619" s="150"/>
      <c r="I619" s="150"/>
      <c r="J619" s="151"/>
      <c r="K619" s="151"/>
      <c r="L619" s="150"/>
      <c r="M619" s="151"/>
      <c r="N619" s="151"/>
      <c r="O619" s="151"/>
      <c r="P619" s="150"/>
      <c r="Q619" s="150"/>
      <c r="R619" s="158"/>
      <c r="S619" s="158"/>
      <c r="T619" s="158"/>
      <c r="U619" s="158"/>
      <c r="V619" s="1"/>
      <c r="W619" s="1"/>
      <c r="X619" s="157"/>
      <c r="Y619" s="157"/>
      <c r="Z619" s="157"/>
      <c r="AA619" s="157"/>
      <c r="AB619" s="157"/>
      <c r="AC619" s="151"/>
      <c r="AD619" s="151"/>
      <c r="AE619" s="151"/>
      <c r="AF619" s="157"/>
      <c r="AG619" s="157"/>
      <c r="AH619" s="157"/>
      <c r="AI619" s="157"/>
      <c r="AJ619" s="157"/>
      <c r="AK619" s="157"/>
      <c r="AL619" s="157"/>
      <c r="AM619" s="157"/>
      <c r="AN619" s="159"/>
      <c r="AO619" s="159"/>
      <c r="AP619" s="160"/>
      <c r="AQ619" s="160"/>
      <c r="AR619" s="160"/>
      <c r="AS619" s="159"/>
      <c r="AT619" s="159"/>
      <c r="AU619" s="161"/>
      <c r="AV619" s="157"/>
      <c r="AW619" s="157"/>
      <c r="AX619" s="157"/>
      <c r="AY619" s="157"/>
      <c r="AZ619" s="157"/>
      <c r="BA619" s="157"/>
      <c r="BB619" s="157"/>
      <c r="BC619" s="151"/>
      <c r="BD619" s="157"/>
      <c r="BE619" s="157"/>
      <c r="BF619" s="157"/>
      <c r="BG619" s="157"/>
      <c r="BH619" s="157"/>
      <c r="BI619" s="157"/>
      <c r="BJ619" s="353"/>
      <c r="BK619" s="353"/>
      <c r="BL619" s="353"/>
      <c r="BM619" s="14"/>
      <c r="BN619" s="14"/>
      <c r="BO619" s="14"/>
    </row>
    <row r="620" spans="1:67" ht="20.100000000000001" customHeight="1">
      <c r="A620" s="157"/>
      <c r="B620" s="1"/>
      <c r="C620" s="157"/>
      <c r="D620" s="1"/>
      <c r="E620" s="150"/>
      <c r="F620" s="150"/>
      <c r="G620" s="151"/>
      <c r="H620" s="150"/>
      <c r="I620" s="150"/>
      <c r="J620" s="151"/>
      <c r="K620" s="151"/>
      <c r="L620" s="150"/>
      <c r="M620" s="151"/>
      <c r="N620" s="151"/>
      <c r="O620" s="151"/>
      <c r="P620" s="150"/>
      <c r="Q620" s="150"/>
      <c r="R620" s="158"/>
      <c r="S620" s="158"/>
      <c r="T620" s="158"/>
      <c r="U620" s="158"/>
      <c r="V620" s="1"/>
      <c r="W620" s="1"/>
      <c r="X620" s="157"/>
      <c r="Y620" s="157"/>
      <c r="Z620" s="157"/>
      <c r="AA620" s="157"/>
      <c r="AB620" s="157"/>
      <c r="AC620" s="151"/>
      <c r="AD620" s="151"/>
      <c r="AE620" s="151"/>
      <c r="AF620" s="157"/>
      <c r="AG620" s="157"/>
      <c r="AH620" s="157"/>
      <c r="AI620" s="157"/>
      <c r="AJ620" s="157"/>
      <c r="AK620" s="157"/>
      <c r="AL620" s="157"/>
      <c r="AM620" s="157"/>
      <c r="AN620" s="159"/>
      <c r="AO620" s="159"/>
      <c r="AP620" s="160"/>
      <c r="AQ620" s="160"/>
      <c r="AR620" s="160"/>
      <c r="AS620" s="159"/>
      <c r="AT620" s="159"/>
      <c r="AU620" s="161"/>
      <c r="AV620" s="157"/>
      <c r="AW620" s="157"/>
      <c r="AX620" s="157"/>
      <c r="AY620" s="157"/>
      <c r="AZ620" s="157"/>
      <c r="BA620" s="157"/>
      <c r="BB620" s="157"/>
      <c r="BC620" s="151"/>
      <c r="BD620" s="157"/>
      <c r="BE620" s="157"/>
      <c r="BF620" s="157"/>
      <c r="BG620" s="157"/>
      <c r="BH620" s="157"/>
      <c r="BI620" s="157"/>
      <c r="BJ620" s="353"/>
      <c r="BK620" s="353"/>
      <c r="BL620" s="353"/>
      <c r="BM620" s="14"/>
      <c r="BN620" s="14"/>
      <c r="BO620" s="14"/>
    </row>
    <row r="621" spans="1:67" ht="20.100000000000001" customHeight="1">
      <c r="A621" s="157"/>
      <c r="B621" s="1"/>
      <c r="C621" s="157"/>
      <c r="D621" s="1"/>
      <c r="E621" s="150"/>
      <c r="F621" s="150"/>
      <c r="G621" s="151"/>
      <c r="H621" s="150"/>
      <c r="I621" s="150"/>
      <c r="J621" s="151"/>
      <c r="K621" s="151"/>
      <c r="L621" s="150"/>
      <c r="M621" s="151"/>
      <c r="N621" s="151"/>
      <c r="O621" s="151"/>
      <c r="P621" s="150"/>
      <c r="Q621" s="150"/>
      <c r="R621" s="158"/>
      <c r="S621" s="158"/>
      <c r="T621" s="158"/>
      <c r="U621" s="158"/>
      <c r="V621" s="1"/>
      <c r="W621" s="1"/>
      <c r="X621" s="157"/>
      <c r="Y621" s="157"/>
      <c r="Z621" s="157"/>
      <c r="AA621" s="157"/>
      <c r="AB621" s="157"/>
      <c r="AC621" s="151"/>
      <c r="AD621" s="151"/>
      <c r="AE621" s="151"/>
      <c r="AF621" s="157"/>
      <c r="AG621" s="157"/>
      <c r="AH621" s="157"/>
      <c r="AI621" s="157"/>
      <c r="AJ621" s="157"/>
      <c r="AK621" s="157"/>
      <c r="AL621" s="157"/>
      <c r="AM621" s="157"/>
      <c r="AN621" s="159"/>
      <c r="AO621" s="159"/>
      <c r="AP621" s="160"/>
      <c r="AQ621" s="160"/>
      <c r="AR621" s="160"/>
      <c r="AS621" s="159"/>
      <c r="AT621" s="159"/>
      <c r="AU621" s="161"/>
      <c r="AV621" s="157"/>
      <c r="AW621" s="157"/>
      <c r="AX621" s="157"/>
      <c r="AY621" s="157"/>
      <c r="AZ621" s="157"/>
      <c r="BA621" s="157"/>
      <c r="BB621" s="157"/>
      <c r="BC621" s="151"/>
      <c r="BD621" s="157"/>
      <c r="BE621" s="157"/>
      <c r="BF621" s="157"/>
      <c r="BG621" s="157"/>
      <c r="BH621" s="157"/>
      <c r="BI621" s="157"/>
      <c r="BJ621" s="353"/>
      <c r="BK621" s="353"/>
      <c r="BL621" s="353"/>
      <c r="BM621" s="14"/>
      <c r="BN621" s="14"/>
      <c r="BO621" s="14"/>
    </row>
    <row r="622" spans="1:67" ht="20.100000000000001" customHeight="1">
      <c r="A622" s="157"/>
      <c r="B622" s="1"/>
      <c r="C622" s="157"/>
      <c r="D622" s="1"/>
      <c r="E622" s="150"/>
      <c r="F622" s="150"/>
      <c r="G622" s="151"/>
      <c r="H622" s="150"/>
      <c r="I622" s="150"/>
      <c r="J622" s="151"/>
      <c r="K622" s="151"/>
      <c r="L622" s="150"/>
      <c r="M622" s="151"/>
      <c r="N622" s="151"/>
      <c r="O622" s="151"/>
      <c r="P622" s="150"/>
      <c r="Q622" s="150"/>
      <c r="R622" s="158"/>
      <c r="S622" s="158"/>
      <c r="T622" s="158"/>
      <c r="U622" s="158"/>
      <c r="V622" s="1"/>
      <c r="W622" s="1"/>
      <c r="X622" s="157"/>
      <c r="Y622" s="157"/>
      <c r="Z622" s="157"/>
      <c r="AA622" s="157"/>
      <c r="AB622" s="157"/>
      <c r="AC622" s="151"/>
      <c r="AD622" s="151"/>
      <c r="AE622" s="151"/>
      <c r="AF622" s="157"/>
      <c r="AG622" s="157"/>
      <c r="AH622" s="157"/>
      <c r="AI622" s="157"/>
      <c r="AJ622" s="157"/>
      <c r="AK622" s="157"/>
      <c r="AL622" s="157"/>
      <c r="AM622" s="157"/>
      <c r="AN622" s="159"/>
      <c r="AO622" s="159"/>
      <c r="AP622" s="160"/>
      <c r="AQ622" s="160"/>
      <c r="AR622" s="160"/>
      <c r="AS622" s="159"/>
      <c r="AT622" s="159"/>
      <c r="AU622" s="161"/>
      <c r="AV622" s="157"/>
      <c r="AW622" s="157"/>
      <c r="AX622" s="157"/>
      <c r="AY622" s="157"/>
      <c r="AZ622" s="157"/>
      <c r="BA622" s="157"/>
      <c r="BB622" s="157"/>
      <c r="BC622" s="151"/>
      <c r="BD622" s="157"/>
      <c r="BE622" s="157"/>
      <c r="BF622" s="157"/>
      <c r="BG622" s="157"/>
      <c r="BH622" s="157"/>
      <c r="BI622" s="157"/>
      <c r="BJ622" s="353"/>
      <c r="BK622" s="353"/>
      <c r="BL622" s="353"/>
      <c r="BM622" s="14"/>
      <c r="BN622" s="14"/>
      <c r="BO622" s="14"/>
    </row>
    <row r="623" spans="1:67" ht="20.100000000000001" customHeight="1">
      <c r="A623" s="157"/>
      <c r="B623" s="1"/>
      <c r="C623" s="157"/>
      <c r="D623" s="1"/>
      <c r="E623" s="150"/>
      <c r="F623" s="150"/>
      <c r="G623" s="151"/>
      <c r="H623" s="150"/>
      <c r="I623" s="150"/>
      <c r="J623" s="151"/>
      <c r="K623" s="151"/>
      <c r="L623" s="150"/>
      <c r="M623" s="151"/>
      <c r="N623" s="151"/>
      <c r="O623" s="151"/>
      <c r="P623" s="150"/>
      <c r="Q623" s="150"/>
      <c r="R623" s="158"/>
      <c r="S623" s="158"/>
      <c r="T623" s="158"/>
      <c r="U623" s="158"/>
      <c r="V623" s="1"/>
      <c r="W623" s="1"/>
      <c r="X623" s="157"/>
      <c r="Y623" s="157"/>
      <c r="Z623" s="157"/>
      <c r="AA623" s="157"/>
      <c r="AB623" s="157"/>
      <c r="AC623" s="151"/>
      <c r="AD623" s="151"/>
      <c r="AE623" s="151"/>
      <c r="AF623" s="157"/>
      <c r="AG623" s="157"/>
      <c r="AH623" s="157"/>
      <c r="AI623" s="157"/>
      <c r="AJ623" s="157"/>
      <c r="AK623" s="157"/>
      <c r="AL623" s="157"/>
      <c r="AM623" s="157"/>
      <c r="AN623" s="159"/>
      <c r="AO623" s="159"/>
      <c r="AP623" s="160"/>
      <c r="AQ623" s="160"/>
      <c r="AR623" s="160"/>
      <c r="AS623" s="159"/>
      <c r="AT623" s="159"/>
      <c r="AU623" s="161"/>
      <c r="AV623" s="157"/>
      <c r="AW623" s="157"/>
      <c r="AX623" s="157"/>
      <c r="AY623" s="157"/>
      <c r="AZ623" s="157"/>
      <c r="BA623" s="157"/>
      <c r="BB623" s="157"/>
      <c r="BC623" s="151"/>
      <c r="BD623" s="157"/>
      <c r="BE623" s="157"/>
      <c r="BF623" s="157"/>
      <c r="BG623" s="157"/>
      <c r="BH623" s="157"/>
      <c r="BI623" s="157"/>
      <c r="BJ623" s="353"/>
      <c r="BK623" s="353"/>
      <c r="BL623" s="353"/>
      <c r="BM623" s="14"/>
      <c r="BN623" s="14"/>
      <c r="BO623" s="14"/>
    </row>
    <row r="624" spans="1:67" ht="20.100000000000001" customHeight="1">
      <c r="A624" s="157"/>
      <c r="B624" s="1"/>
      <c r="C624" s="157"/>
      <c r="D624" s="1"/>
      <c r="E624" s="150"/>
      <c r="F624" s="150"/>
      <c r="G624" s="151"/>
      <c r="H624" s="150"/>
      <c r="I624" s="150"/>
      <c r="J624" s="151"/>
      <c r="K624" s="151"/>
      <c r="L624" s="150"/>
      <c r="M624" s="151"/>
      <c r="N624" s="151"/>
      <c r="O624" s="151"/>
      <c r="P624" s="150"/>
      <c r="Q624" s="150"/>
      <c r="R624" s="158"/>
      <c r="S624" s="158"/>
      <c r="T624" s="158"/>
      <c r="U624" s="158"/>
      <c r="V624" s="1"/>
      <c r="W624" s="1"/>
      <c r="X624" s="157"/>
      <c r="Y624" s="157"/>
      <c r="Z624" s="157"/>
      <c r="AA624" s="157"/>
      <c r="AB624" s="157"/>
      <c r="AC624" s="151"/>
      <c r="AD624" s="151"/>
      <c r="AE624" s="151"/>
      <c r="AF624" s="157"/>
      <c r="AG624" s="157"/>
      <c r="AH624" s="157"/>
      <c r="AI624" s="157"/>
      <c r="AJ624" s="157"/>
      <c r="AK624" s="157"/>
      <c r="AL624" s="157"/>
      <c r="AM624" s="157"/>
      <c r="AN624" s="159"/>
      <c r="AO624" s="159"/>
      <c r="AP624" s="160"/>
      <c r="AQ624" s="160"/>
      <c r="AR624" s="160"/>
      <c r="AS624" s="159"/>
      <c r="AT624" s="159"/>
      <c r="AU624" s="161"/>
      <c r="AV624" s="157"/>
      <c r="AW624" s="157"/>
      <c r="AX624" s="157"/>
      <c r="AY624" s="157"/>
      <c r="AZ624" s="157"/>
      <c r="BA624" s="157"/>
      <c r="BB624" s="157"/>
      <c r="BC624" s="151"/>
      <c r="BD624" s="157"/>
      <c r="BE624" s="157"/>
      <c r="BF624" s="157"/>
      <c r="BG624" s="157"/>
      <c r="BH624" s="157"/>
      <c r="BI624" s="157"/>
      <c r="BJ624" s="353"/>
      <c r="BK624" s="353"/>
      <c r="BL624" s="353"/>
      <c r="BM624" s="14"/>
      <c r="BN624" s="14"/>
      <c r="BO624" s="14"/>
    </row>
    <row r="625" spans="1:67" ht="20.100000000000001" customHeight="1">
      <c r="A625" s="157"/>
      <c r="B625" s="1"/>
      <c r="C625" s="157"/>
      <c r="D625" s="1"/>
      <c r="E625" s="150"/>
      <c r="F625" s="150"/>
      <c r="G625" s="151"/>
      <c r="H625" s="150"/>
      <c r="I625" s="150"/>
      <c r="J625" s="151"/>
      <c r="K625" s="151"/>
      <c r="L625" s="150"/>
      <c r="M625" s="151"/>
      <c r="N625" s="151"/>
      <c r="O625" s="151"/>
      <c r="P625" s="150"/>
      <c r="Q625" s="150"/>
      <c r="R625" s="158"/>
      <c r="S625" s="158"/>
      <c r="T625" s="158"/>
      <c r="U625" s="158"/>
      <c r="V625" s="1"/>
      <c r="W625" s="1"/>
      <c r="X625" s="157"/>
      <c r="Y625" s="157"/>
      <c r="Z625" s="157"/>
      <c r="AA625" s="157"/>
      <c r="AB625" s="157"/>
      <c r="AC625" s="151"/>
      <c r="AD625" s="151"/>
      <c r="AE625" s="151"/>
      <c r="AF625" s="157"/>
      <c r="AG625" s="157"/>
      <c r="AH625" s="157"/>
      <c r="AI625" s="157"/>
      <c r="AJ625" s="157"/>
      <c r="AK625" s="157"/>
      <c r="AL625" s="157"/>
      <c r="AM625" s="157"/>
      <c r="AN625" s="159"/>
      <c r="AO625" s="159"/>
      <c r="AP625" s="160"/>
      <c r="AQ625" s="160"/>
      <c r="AR625" s="160"/>
      <c r="AS625" s="159"/>
      <c r="AT625" s="159"/>
      <c r="AU625" s="161"/>
      <c r="AV625" s="157"/>
      <c r="AW625" s="157"/>
      <c r="AX625" s="157"/>
      <c r="AY625" s="157"/>
      <c r="AZ625" s="157"/>
      <c r="BA625" s="157"/>
      <c r="BB625" s="157"/>
      <c r="BC625" s="151"/>
      <c r="BD625" s="157"/>
      <c r="BE625" s="157"/>
      <c r="BF625" s="157"/>
      <c r="BG625" s="157"/>
      <c r="BH625" s="157"/>
      <c r="BI625" s="157"/>
      <c r="BJ625" s="353"/>
      <c r="BK625" s="353"/>
      <c r="BL625" s="353"/>
      <c r="BM625" s="14"/>
      <c r="BN625" s="14"/>
      <c r="BO625" s="14"/>
    </row>
    <row r="626" spans="1:67" ht="20.100000000000001" customHeight="1">
      <c r="A626" s="157"/>
      <c r="B626" s="1"/>
      <c r="C626" s="157"/>
      <c r="D626" s="1"/>
      <c r="E626" s="150"/>
      <c r="F626" s="150"/>
      <c r="G626" s="151"/>
      <c r="H626" s="150"/>
      <c r="I626" s="150"/>
      <c r="J626" s="151"/>
      <c r="K626" s="151"/>
      <c r="L626" s="150"/>
      <c r="M626" s="151"/>
      <c r="N626" s="151"/>
      <c r="O626" s="151"/>
      <c r="P626" s="150"/>
      <c r="Q626" s="150"/>
      <c r="R626" s="158"/>
      <c r="S626" s="158"/>
      <c r="T626" s="158"/>
      <c r="U626" s="158"/>
      <c r="V626" s="1"/>
      <c r="W626" s="1"/>
      <c r="X626" s="157"/>
      <c r="Y626" s="157"/>
      <c r="Z626" s="157"/>
      <c r="AA626" s="157"/>
      <c r="AB626" s="157"/>
      <c r="AC626" s="151"/>
      <c r="AD626" s="151"/>
      <c r="AE626" s="151"/>
      <c r="AF626" s="157"/>
      <c r="AG626" s="157"/>
      <c r="AH626" s="157"/>
      <c r="AI626" s="157"/>
      <c r="AJ626" s="157"/>
      <c r="AK626" s="157"/>
      <c r="AL626" s="157"/>
      <c r="AM626" s="157"/>
      <c r="AN626" s="159"/>
      <c r="AO626" s="159"/>
      <c r="AP626" s="160"/>
      <c r="AQ626" s="160"/>
      <c r="AR626" s="160"/>
      <c r="AS626" s="159"/>
      <c r="AT626" s="159"/>
      <c r="AU626" s="161"/>
      <c r="AV626" s="157"/>
      <c r="AW626" s="157"/>
      <c r="AX626" s="157"/>
      <c r="AY626" s="157"/>
      <c r="AZ626" s="157"/>
      <c r="BA626" s="157"/>
      <c r="BB626" s="157"/>
      <c r="BC626" s="151"/>
      <c r="BD626" s="157"/>
      <c r="BE626" s="157"/>
      <c r="BF626" s="157"/>
      <c r="BG626" s="157"/>
      <c r="BH626" s="157"/>
      <c r="BI626" s="157"/>
      <c r="BJ626" s="353"/>
      <c r="BK626" s="353"/>
      <c r="BL626" s="353"/>
      <c r="BM626" s="14"/>
      <c r="BN626" s="14"/>
      <c r="BO626" s="14"/>
    </row>
    <row r="627" spans="1:67" ht="20.100000000000001" customHeight="1">
      <c r="A627" s="157"/>
      <c r="B627" s="1"/>
      <c r="C627" s="157"/>
      <c r="D627" s="1"/>
      <c r="E627" s="150"/>
      <c r="F627" s="150"/>
      <c r="G627" s="151"/>
      <c r="H627" s="150"/>
      <c r="I627" s="150"/>
      <c r="J627" s="151"/>
      <c r="K627" s="151"/>
      <c r="L627" s="150"/>
      <c r="M627" s="151"/>
      <c r="N627" s="151"/>
      <c r="O627" s="151"/>
      <c r="P627" s="150"/>
      <c r="Q627" s="150"/>
      <c r="R627" s="158"/>
      <c r="S627" s="158"/>
      <c r="T627" s="158"/>
      <c r="U627" s="158"/>
      <c r="V627" s="1"/>
      <c r="W627" s="1"/>
      <c r="X627" s="157"/>
      <c r="Y627" s="157"/>
      <c r="Z627" s="157"/>
      <c r="AA627" s="157"/>
      <c r="AB627" s="157"/>
      <c r="AC627" s="151"/>
      <c r="AD627" s="151"/>
      <c r="AE627" s="151"/>
      <c r="AF627" s="157"/>
      <c r="AG627" s="157"/>
      <c r="AH627" s="157"/>
      <c r="AI627" s="157"/>
      <c r="AJ627" s="157"/>
      <c r="AK627" s="157"/>
      <c r="AL627" s="157"/>
      <c r="AM627" s="157"/>
      <c r="AN627" s="159"/>
      <c r="AO627" s="159"/>
      <c r="AP627" s="160"/>
      <c r="AQ627" s="160"/>
      <c r="AR627" s="160"/>
      <c r="AS627" s="159"/>
      <c r="AT627" s="159"/>
      <c r="AU627" s="161"/>
      <c r="AV627" s="157"/>
      <c r="AW627" s="157"/>
      <c r="AX627" s="157"/>
      <c r="AY627" s="157"/>
      <c r="AZ627" s="157"/>
      <c r="BA627" s="157"/>
      <c r="BB627" s="157"/>
      <c r="BC627" s="151"/>
      <c r="BD627" s="157"/>
      <c r="BE627" s="157"/>
      <c r="BF627" s="157"/>
      <c r="BG627" s="157"/>
      <c r="BH627" s="157"/>
      <c r="BI627" s="157"/>
      <c r="BJ627" s="353"/>
      <c r="BK627" s="353"/>
      <c r="BL627" s="353"/>
      <c r="BM627" s="14"/>
      <c r="BN627" s="14"/>
      <c r="BO627" s="14"/>
    </row>
    <row r="628" spans="1:67" ht="20.100000000000001" customHeight="1">
      <c r="A628" s="157"/>
      <c r="B628" s="1"/>
      <c r="C628" s="157"/>
      <c r="D628" s="1"/>
      <c r="E628" s="150"/>
      <c r="F628" s="150"/>
      <c r="G628" s="151"/>
      <c r="H628" s="150"/>
      <c r="I628" s="150"/>
      <c r="J628" s="151"/>
      <c r="K628" s="151"/>
      <c r="L628" s="150"/>
      <c r="M628" s="151"/>
      <c r="N628" s="151"/>
      <c r="O628" s="151"/>
      <c r="P628" s="150"/>
      <c r="Q628" s="150"/>
      <c r="R628" s="158"/>
      <c r="S628" s="158"/>
      <c r="T628" s="158"/>
      <c r="U628" s="158"/>
      <c r="V628" s="1"/>
      <c r="W628" s="1"/>
      <c r="X628" s="157"/>
      <c r="Y628" s="157"/>
      <c r="Z628" s="157"/>
      <c r="AA628" s="157"/>
      <c r="AB628" s="157"/>
      <c r="AC628" s="151"/>
      <c r="AD628" s="151"/>
      <c r="AE628" s="151"/>
      <c r="AF628" s="157"/>
      <c r="AG628" s="157"/>
      <c r="AH628" s="157"/>
      <c r="AI628" s="157"/>
      <c r="AJ628" s="157"/>
      <c r="AK628" s="157"/>
      <c r="AL628" s="157"/>
      <c r="AM628" s="157"/>
      <c r="AN628" s="159"/>
      <c r="AO628" s="159"/>
      <c r="AP628" s="160"/>
      <c r="AQ628" s="160"/>
      <c r="AR628" s="160"/>
      <c r="AS628" s="159"/>
      <c r="AT628" s="159"/>
      <c r="AU628" s="161"/>
      <c r="AV628" s="157"/>
      <c r="AW628" s="157"/>
      <c r="AX628" s="157"/>
      <c r="AY628" s="157"/>
      <c r="AZ628" s="157"/>
      <c r="BA628" s="157"/>
      <c r="BB628" s="157"/>
      <c r="BC628" s="151"/>
      <c r="BD628" s="157"/>
      <c r="BE628" s="157"/>
      <c r="BF628" s="157"/>
      <c r="BG628" s="157"/>
      <c r="BH628" s="157"/>
      <c r="BI628" s="157"/>
      <c r="BJ628" s="353"/>
      <c r="BK628" s="353"/>
      <c r="BL628" s="353"/>
      <c r="BM628" s="14"/>
      <c r="BN628" s="14"/>
      <c r="BO628" s="14"/>
    </row>
    <row r="629" spans="1:67" ht="20.100000000000001" customHeight="1">
      <c r="A629" s="157"/>
      <c r="B629" s="1"/>
      <c r="C629" s="157"/>
      <c r="D629" s="1"/>
      <c r="E629" s="150"/>
      <c r="F629" s="150"/>
      <c r="G629" s="151"/>
      <c r="H629" s="150"/>
      <c r="I629" s="150"/>
      <c r="J629" s="151"/>
      <c r="K629" s="151"/>
      <c r="L629" s="150"/>
      <c r="M629" s="151"/>
      <c r="N629" s="151"/>
      <c r="O629" s="151"/>
      <c r="P629" s="150"/>
      <c r="Q629" s="150"/>
      <c r="R629" s="158"/>
      <c r="S629" s="158"/>
      <c r="T629" s="158"/>
      <c r="U629" s="158"/>
      <c r="V629" s="1"/>
      <c r="W629" s="1"/>
      <c r="X629" s="157"/>
      <c r="Y629" s="157"/>
      <c r="Z629" s="157"/>
      <c r="AA629" s="157"/>
      <c r="AB629" s="157"/>
      <c r="AC629" s="151"/>
      <c r="AD629" s="151"/>
      <c r="AE629" s="151"/>
      <c r="AF629" s="157"/>
      <c r="AG629" s="157"/>
      <c r="AH629" s="157"/>
      <c r="AI629" s="157"/>
      <c r="AJ629" s="157"/>
      <c r="AK629" s="157"/>
      <c r="AL629" s="157"/>
      <c r="AM629" s="157"/>
      <c r="AN629" s="159"/>
      <c r="AO629" s="159"/>
      <c r="AP629" s="160"/>
      <c r="AQ629" s="160"/>
      <c r="AR629" s="160"/>
      <c r="AS629" s="159"/>
      <c r="AT629" s="159"/>
      <c r="AU629" s="161"/>
      <c r="AV629" s="157"/>
      <c r="AW629" s="157"/>
      <c r="AX629" s="157"/>
      <c r="AY629" s="157"/>
      <c r="AZ629" s="157"/>
      <c r="BA629" s="157"/>
      <c r="BB629" s="157"/>
      <c r="BC629" s="151"/>
      <c r="BD629" s="157"/>
      <c r="BE629" s="157"/>
      <c r="BF629" s="157"/>
      <c r="BG629" s="157"/>
      <c r="BH629" s="157"/>
      <c r="BI629" s="157"/>
      <c r="BJ629" s="353"/>
      <c r="BK629" s="353"/>
      <c r="BL629" s="353"/>
      <c r="BM629" s="14"/>
      <c r="BN629" s="14"/>
      <c r="BO629" s="14"/>
    </row>
    <row r="630" spans="1:67" ht="20.100000000000001" customHeight="1">
      <c r="A630" s="157"/>
      <c r="B630" s="1"/>
      <c r="C630" s="157"/>
      <c r="D630" s="1"/>
      <c r="E630" s="150"/>
      <c r="F630" s="150"/>
      <c r="G630" s="151"/>
      <c r="H630" s="150"/>
      <c r="I630" s="150"/>
      <c r="J630" s="151"/>
      <c r="K630" s="151"/>
      <c r="L630" s="150"/>
      <c r="M630" s="151"/>
      <c r="N630" s="151"/>
      <c r="O630" s="151"/>
      <c r="P630" s="150"/>
      <c r="Q630" s="150"/>
      <c r="R630" s="158"/>
      <c r="S630" s="158"/>
      <c r="T630" s="158"/>
      <c r="U630" s="158"/>
      <c r="V630" s="1"/>
      <c r="W630" s="1"/>
      <c r="X630" s="157"/>
      <c r="Y630" s="157"/>
      <c r="Z630" s="157"/>
      <c r="AA630" s="157"/>
      <c r="AB630" s="157"/>
      <c r="AC630" s="151"/>
      <c r="AD630" s="151"/>
      <c r="AE630" s="151"/>
      <c r="AF630" s="157"/>
      <c r="AG630" s="157"/>
      <c r="AH630" s="157"/>
      <c r="AI630" s="157"/>
      <c r="AJ630" s="157"/>
      <c r="AK630" s="157"/>
      <c r="AL630" s="157"/>
      <c r="AM630" s="157"/>
      <c r="AN630" s="159"/>
      <c r="AO630" s="159"/>
      <c r="AP630" s="160"/>
      <c r="AQ630" s="160"/>
      <c r="AR630" s="160"/>
      <c r="AS630" s="159"/>
      <c r="AT630" s="159"/>
      <c r="AU630" s="161"/>
      <c r="AV630" s="157"/>
      <c r="AW630" s="157"/>
      <c r="AX630" s="157"/>
      <c r="AY630" s="157"/>
      <c r="AZ630" s="157"/>
      <c r="BA630" s="157"/>
      <c r="BB630" s="157"/>
      <c r="BC630" s="151"/>
      <c r="BD630" s="157"/>
      <c r="BE630" s="157"/>
      <c r="BF630" s="157"/>
      <c r="BG630" s="157"/>
      <c r="BH630" s="157"/>
      <c r="BI630" s="157"/>
      <c r="BJ630" s="353"/>
      <c r="BK630" s="353"/>
      <c r="BL630" s="353"/>
      <c r="BM630" s="14"/>
      <c r="BN630" s="14"/>
      <c r="BO630" s="14"/>
    </row>
    <row r="631" spans="1:67" ht="20.100000000000001" customHeight="1">
      <c r="A631" s="157"/>
      <c r="B631" s="1"/>
      <c r="C631" s="157"/>
      <c r="D631" s="1"/>
      <c r="E631" s="150"/>
      <c r="F631" s="150"/>
      <c r="G631" s="151"/>
      <c r="H631" s="150"/>
      <c r="I631" s="150"/>
      <c r="J631" s="151"/>
      <c r="K631" s="151"/>
      <c r="L631" s="150"/>
      <c r="M631" s="151"/>
      <c r="N631" s="151"/>
      <c r="O631" s="151"/>
      <c r="P631" s="150"/>
      <c r="Q631" s="150"/>
      <c r="R631" s="158"/>
      <c r="S631" s="158"/>
      <c r="T631" s="158"/>
      <c r="U631" s="158"/>
      <c r="V631" s="1"/>
      <c r="W631" s="1"/>
      <c r="X631" s="157"/>
      <c r="Y631" s="157"/>
      <c r="Z631" s="157"/>
      <c r="AA631" s="157"/>
      <c r="AB631" s="157"/>
      <c r="AC631" s="151"/>
      <c r="AD631" s="151"/>
      <c r="AE631" s="151"/>
      <c r="AF631" s="157"/>
      <c r="AG631" s="157"/>
      <c r="AH631" s="157"/>
      <c r="AI631" s="157"/>
      <c r="AJ631" s="157"/>
      <c r="AK631" s="157"/>
      <c r="AL631" s="157"/>
      <c r="AM631" s="157"/>
      <c r="AN631" s="159"/>
      <c r="AO631" s="159"/>
      <c r="AP631" s="160"/>
      <c r="AQ631" s="160"/>
      <c r="AR631" s="160"/>
      <c r="AS631" s="159"/>
      <c r="AT631" s="159"/>
      <c r="AU631" s="161"/>
      <c r="AV631" s="157"/>
      <c r="AW631" s="157"/>
      <c r="AX631" s="157"/>
      <c r="AY631" s="157"/>
      <c r="AZ631" s="157"/>
      <c r="BA631" s="157"/>
      <c r="BB631" s="157"/>
      <c r="BC631" s="151"/>
      <c r="BD631" s="157"/>
      <c r="BE631" s="157"/>
      <c r="BF631" s="157"/>
      <c r="BG631" s="157"/>
      <c r="BH631" s="157"/>
      <c r="BI631" s="157"/>
      <c r="BJ631" s="353"/>
      <c r="BK631" s="353"/>
      <c r="BL631" s="353"/>
      <c r="BM631" s="14"/>
      <c r="BN631" s="14"/>
      <c r="BO631" s="14"/>
    </row>
    <row r="632" spans="1:67" ht="20.100000000000001" customHeight="1">
      <c r="A632" s="157"/>
      <c r="B632" s="1"/>
      <c r="C632" s="157"/>
      <c r="D632" s="1"/>
      <c r="E632" s="150"/>
      <c r="F632" s="150"/>
      <c r="G632" s="151"/>
      <c r="H632" s="150"/>
      <c r="I632" s="150"/>
      <c r="J632" s="151"/>
      <c r="K632" s="151"/>
      <c r="L632" s="150"/>
      <c r="M632" s="151"/>
      <c r="N632" s="151"/>
      <c r="O632" s="151"/>
      <c r="P632" s="150"/>
      <c r="Q632" s="150"/>
      <c r="R632" s="158"/>
      <c r="S632" s="158"/>
      <c r="T632" s="158"/>
      <c r="U632" s="158"/>
      <c r="V632" s="1"/>
      <c r="W632" s="1"/>
      <c r="X632" s="157"/>
      <c r="Y632" s="157"/>
      <c r="Z632" s="157"/>
      <c r="AA632" s="157"/>
      <c r="AB632" s="157"/>
      <c r="AC632" s="151"/>
      <c r="AD632" s="151"/>
      <c r="AE632" s="151"/>
      <c r="AF632" s="157"/>
      <c r="AG632" s="157"/>
      <c r="AH632" s="157"/>
      <c r="AI632" s="157"/>
      <c r="AJ632" s="157"/>
      <c r="AK632" s="157"/>
      <c r="AL632" s="157"/>
      <c r="AM632" s="157"/>
      <c r="AN632" s="159"/>
      <c r="AO632" s="159"/>
      <c r="AP632" s="160"/>
      <c r="AQ632" s="160"/>
      <c r="AR632" s="160"/>
      <c r="AS632" s="159"/>
      <c r="AT632" s="159"/>
      <c r="AU632" s="161"/>
      <c r="AV632" s="157"/>
      <c r="AW632" s="157"/>
      <c r="AX632" s="157"/>
      <c r="AY632" s="157"/>
      <c r="AZ632" s="157"/>
      <c r="BA632" s="157"/>
      <c r="BB632" s="157"/>
      <c r="BC632" s="151"/>
      <c r="BD632" s="157"/>
      <c r="BE632" s="157"/>
      <c r="BF632" s="157"/>
      <c r="BG632" s="157"/>
      <c r="BH632" s="157"/>
      <c r="BI632" s="157"/>
      <c r="BJ632" s="353"/>
      <c r="BK632" s="353"/>
      <c r="BL632" s="353"/>
      <c r="BM632" s="14"/>
      <c r="BN632" s="14"/>
      <c r="BO632" s="14"/>
    </row>
    <row r="633" spans="1:67" ht="20.100000000000001" customHeight="1">
      <c r="A633" s="157"/>
      <c r="B633" s="1"/>
      <c r="C633" s="157"/>
      <c r="D633" s="1"/>
      <c r="E633" s="150"/>
      <c r="F633" s="150"/>
      <c r="G633" s="151"/>
      <c r="H633" s="150"/>
      <c r="I633" s="150"/>
      <c r="J633" s="151"/>
      <c r="K633" s="151"/>
      <c r="L633" s="150"/>
      <c r="M633" s="151"/>
      <c r="N633" s="151"/>
      <c r="O633" s="151"/>
      <c r="P633" s="150"/>
      <c r="Q633" s="150"/>
      <c r="R633" s="158"/>
      <c r="S633" s="158"/>
      <c r="T633" s="158"/>
      <c r="U633" s="158"/>
      <c r="V633" s="1"/>
      <c r="W633" s="1"/>
      <c r="X633" s="157"/>
      <c r="Y633" s="157"/>
      <c r="Z633" s="157"/>
      <c r="AA633" s="157"/>
      <c r="AB633" s="157"/>
      <c r="AC633" s="151"/>
      <c r="AD633" s="151"/>
      <c r="AE633" s="151"/>
      <c r="AF633" s="157"/>
      <c r="AG633" s="157"/>
      <c r="AH633" s="157"/>
      <c r="AI633" s="157"/>
      <c r="AJ633" s="157"/>
      <c r="AK633" s="157"/>
      <c r="AL633" s="157"/>
      <c r="AM633" s="157"/>
      <c r="AN633" s="159"/>
      <c r="AO633" s="159"/>
      <c r="AP633" s="160"/>
      <c r="AQ633" s="160"/>
      <c r="AR633" s="160"/>
      <c r="AS633" s="159"/>
      <c r="AT633" s="159"/>
      <c r="AU633" s="161"/>
      <c r="AV633" s="157"/>
      <c r="AW633" s="157"/>
      <c r="AX633" s="157"/>
      <c r="AY633" s="157"/>
      <c r="AZ633" s="157"/>
      <c r="BA633" s="157"/>
      <c r="BB633" s="157"/>
      <c r="BC633" s="151"/>
      <c r="BD633" s="157"/>
      <c r="BE633" s="157"/>
      <c r="BF633" s="157"/>
      <c r="BG633" s="157"/>
      <c r="BH633" s="157"/>
      <c r="BI633" s="157"/>
      <c r="BJ633" s="353"/>
      <c r="BK633" s="353"/>
      <c r="BL633" s="353"/>
      <c r="BM633" s="14"/>
      <c r="BN633" s="14"/>
      <c r="BO633" s="14"/>
    </row>
    <row r="634" spans="1:67" ht="20.100000000000001" customHeight="1">
      <c r="A634" s="157"/>
      <c r="B634" s="1"/>
      <c r="C634" s="157"/>
      <c r="D634" s="1"/>
      <c r="E634" s="150"/>
      <c r="F634" s="150"/>
      <c r="G634" s="151"/>
      <c r="H634" s="150"/>
      <c r="I634" s="150"/>
      <c r="J634" s="151"/>
      <c r="K634" s="151"/>
      <c r="L634" s="150"/>
      <c r="M634" s="151"/>
      <c r="N634" s="151"/>
      <c r="O634" s="151"/>
      <c r="P634" s="150"/>
      <c r="Q634" s="150"/>
      <c r="R634" s="158"/>
      <c r="S634" s="158"/>
      <c r="T634" s="158"/>
      <c r="U634" s="158"/>
      <c r="V634" s="1"/>
      <c r="W634" s="1"/>
      <c r="X634" s="157"/>
      <c r="Y634" s="157"/>
      <c r="Z634" s="157"/>
      <c r="AA634" s="157"/>
      <c r="AB634" s="157"/>
      <c r="AC634" s="151"/>
      <c r="AD634" s="151"/>
      <c r="AE634" s="151"/>
      <c r="AF634" s="157"/>
      <c r="AG634" s="157"/>
      <c r="AH634" s="157"/>
      <c r="AI634" s="157"/>
      <c r="AJ634" s="157"/>
      <c r="AK634" s="157"/>
      <c r="AL634" s="157"/>
      <c r="AM634" s="157"/>
      <c r="AN634" s="159"/>
      <c r="AO634" s="159"/>
      <c r="AP634" s="160"/>
      <c r="AQ634" s="160"/>
      <c r="AR634" s="160"/>
      <c r="AS634" s="159"/>
      <c r="AT634" s="159"/>
      <c r="AU634" s="161"/>
      <c r="AV634" s="157"/>
      <c r="AW634" s="157"/>
      <c r="AX634" s="157"/>
      <c r="AY634" s="157"/>
      <c r="AZ634" s="157"/>
      <c r="BA634" s="157"/>
      <c r="BB634" s="157"/>
      <c r="BC634" s="151"/>
      <c r="BD634" s="157"/>
      <c r="BE634" s="157"/>
      <c r="BF634" s="157"/>
      <c r="BG634" s="157"/>
      <c r="BH634" s="157"/>
      <c r="BI634" s="157"/>
      <c r="BJ634" s="353"/>
      <c r="BK634" s="353"/>
      <c r="BL634" s="353"/>
      <c r="BM634" s="14"/>
      <c r="BN634" s="14"/>
      <c r="BO634" s="14"/>
    </row>
    <row r="635" spans="1:67" ht="20.100000000000001" customHeight="1">
      <c r="A635" s="157"/>
      <c r="B635" s="1"/>
      <c r="C635" s="157"/>
      <c r="D635" s="1"/>
      <c r="E635" s="150"/>
      <c r="F635" s="150"/>
      <c r="G635" s="151"/>
      <c r="H635" s="150"/>
      <c r="I635" s="150"/>
      <c r="J635" s="151"/>
      <c r="K635" s="151"/>
      <c r="L635" s="150"/>
      <c r="M635" s="151"/>
      <c r="N635" s="151"/>
      <c r="O635" s="151"/>
      <c r="P635" s="150"/>
      <c r="Q635" s="150"/>
      <c r="R635" s="158"/>
      <c r="S635" s="158"/>
      <c r="T635" s="158"/>
      <c r="U635" s="158"/>
      <c r="V635" s="1"/>
      <c r="W635" s="1"/>
      <c r="X635" s="157"/>
      <c r="Y635" s="157"/>
      <c r="Z635" s="157"/>
      <c r="AA635" s="157"/>
      <c r="AB635" s="157"/>
      <c r="AC635" s="151"/>
      <c r="AD635" s="151"/>
      <c r="AE635" s="151"/>
      <c r="AF635" s="157"/>
      <c r="AG635" s="157"/>
      <c r="AH635" s="157"/>
      <c r="AI635" s="157"/>
      <c r="AJ635" s="157"/>
      <c r="AK635" s="157"/>
      <c r="AL635" s="157"/>
      <c r="AM635" s="157"/>
      <c r="AN635" s="159"/>
      <c r="AO635" s="159"/>
      <c r="AP635" s="160"/>
      <c r="AQ635" s="160"/>
      <c r="AR635" s="160"/>
      <c r="AS635" s="159"/>
      <c r="AT635" s="159"/>
      <c r="AU635" s="161"/>
      <c r="AV635" s="157"/>
      <c r="AW635" s="157"/>
      <c r="AX635" s="157"/>
      <c r="AY635" s="157"/>
      <c r="AZ635" s="157"/>
      <c r="BA635" s="157"/>
      <c r="BB635" s="157"/>
      <c r="BC635" s="151"/>
      <c r="BD635" s="157"/>
      <c r="BE635" s="157"/>
      <c r="BF635" s="157"/>
      <c r="BG635" s="157"/>
      <c r="BH635" s="157"/>
      <c r="BI635" s="157"/>
      <c r="BJ635" s="353"/>
      <c r="BK635" s="353"/>
      <c r="BL635" s="353"/>
      <c r="BM635" s="14"/>
      <c r="BN635" s="14"/>
      <c r="BO635" s="14"/>
    </row>
    <row r="636" spans="1:67" ht="20.100000000000001" customHeight="1">
      <c r="A636" s="157"/>
      <c r="B636" s="1"/>
      <c r="C636" s="157"/>
      <c r="D636" s="1"/>
      <c r="E636" s="150"/>
      <c r="F636" s="150"/>
      <c r="G636" s="151"/>
      <c r="H636" s="150"/>
      <c r="I636" s="150"/>
      <c r="J636" s="151"/>
      <c r="K636" s="151"/>
      <c r="L636" s="150"/>
      <c r="M636" s="151"/>
      <c r="N636" s="151"/>
      <c r="O636" s="151"/>
      <c r="P636" s="150"/>
      <c r="Q636" s="150"/>
      <c r="R636" s="158"/>
      <c r="S636" s="158"/>
      <c r="T636" s="158"/>
      <c r="U636" s="158"/>
      <c r="V636" s="1"/>
      <c r="W636" s="1"/>
      <c r="X636" s="157"/>
      <c r="Y636" s="157"/>
      <c r="Z636" s="157"/>
      <c r="AA636" s="157"/>
      <c r="AB636" s="157"/>
      <c r="AC636" s="151"/>
      <c r="AD636" s="151"/>
      <c r="AE636" s="151"/>
      <c r="AF636" s="157"/>
      <c r="AG636" s="157"/>
      <c r="AH636" s="157"/>
      <c r="AI636" s="157"/>
      <c r="AJ636" s="157"/>
      <c r="AK636" s="157"/>
      <c r="AL636" s="157"/>
      <c r="AM636" s="157"/>
      <c r="AN636" s="159"/>
      <c r="AO636" s="159"/>
      <c r="AP636" s="160"/>
      <c r="AQ636" s="160"/>
      <c r="AR636" s="160"/>
      <c r="AS636" s="159"/>
      <c r="AT636" s="159"/>
      <c r="AU636" s="161"/>
      <c r="AV636" s="157"/>
      <c r="AW636" s="157"/>
      <c r="AX636" s="157"/>
      <c r="AY636" s="157"/>
      <c r="AZ636" s="157"/>
      <c r="BA636" s="157"/>
      <c r="BB636" s="157"/>
      <c r="BC636" s="151"/>
      <c r="BD636" s="157"/>
      <c r="BE636" s="157"/>
      <c r="BF636" s="157"/>
      <c r="BG636" s="157"/>
      <c r="BH636" s="157"/>
      <c r="BI636" s="157"/>
      <c r="BJ636" s="353"/>
      <c r="BK636" s="353"/>
      <c r="BL636" s="353"/>
      <c r="BM636" s="14"/>
      <c r="BN636" s="14"/>
      <c r="BO636" s="14"/>
    </row>
    <row r="637" spans="1:67" ht="20.100000000000001" customHeight="1">
      <c r="A637" s="157"/>
      <c r="B637" s="1"/>
      <c r="C637" s="157"/>
      <c r="D637" s="1"/>
      <c r="E637" s="150"/>
      <c r="F637" s="150"/>
      <c r="G637" s="151"/>
      <c r="H637" s="150"/>
      <c r="I637" s="150"/>
      <c r="J637" s="151"/>
      <c r="K637" s="151"/>
      <c r="L637" s="150"/>
      <c r="M637" s="151"/>
      <c r="N637" s="151"/>
      <c r="O637" s="151"/>
      <c r="P637" s="150"/>
      <c r="Q637" s="150"/>
      <c r="R637" s="158"/>
      <c r="S637" s="158"/>
      <c r="T637" s="158"/>
      <c r="U637" s="158"/>
      <c r="V637" s="1"/>
      <c r="W637" s="1"/>
      <c r="X637" s="157"/>
      <c r="Y637" s="157"/>
      <c r="Z637" s="157"/>
      <c r="AA637" s="157"/>
      <c r="AB637" s="157"/>
      <c r="AC637" s="151"/>
      <c r="AD637" s="151"/>
      <c r="AE637" s="151"/>
      <c r="AF637" s="157"/>
      <c r="AG637" s="157"/>
      <c r="AH637" s="157"/>
      <c r="AI637" s="157"/>
      <c r="AJ637" s="157"/>
      <c r="AK637" s="157"/>
      <c r="AL637" s="157"/>
      <c r="AM637" s="157"/>
      <c r="AN637" s="159"/>
      <c r="AO637" s="159"/>
      <c r="AP637" s="160"/>
      <c r="AQ637" s="160"/>
      <c r="AR637" s="160"/>
      <c r="AS637" s="159"/>
      <c r="AT637" s="159"/>
      <c r="AU637" s="161"/>
      <c r="AV637" s="157"/>
      <c r="AW637" s="157"/>
      <c r="AX637" s="157"/>
      <c r="AY637" s="157"/>
      <c r="AZ637" s="157"/>
      <c r="BA637" s="157"/>
      <c r="BB637" s="157"/>
      <c r="BC637" s="151"/>
      <c r="BD637" s="157"/>
      <c r="BE637" s="157"/>
      <c r="BF637" s="157"/>
      <c r="BG637" s="157"/>
      <c r="BH637" s="157"/>
      <c r="BI637" s="157"/>
      <c r="BJ637" s="353"/>
      <c r="BK637" s="353"/>
      <c r="BL637" s="353"/>
      <c r="BM637" s="14"/>
      <c r="BN637" s="14"/>
      <c r="BO637" s="14"/>
    </row>
    <row r="638" spans="1:67" ht="20.100000000000001" customHeight="1">
      <c r="A638" s="157"/>
      <c r="B638" s="1"/>
      <c r="C638" s="157"/>
      <c r="D638" s="1"/>
      <c r="E638" s="150"/>
      <c r="F638" s="150"/>
      <c r="G638" s="151"/>
      <c r="H638" s="150"/>
      <c r="I638" s="150"/>
      <c r="J638" s="151"/>
      <c r="K638" s="151"/>
      <c r="L638" s="150"/>
      <c r="M638" s="151"/>
      <c r="N638" s="151"/>
      <c r="O638" s="151"/>
      <c r="P638" s="150"/>
      <c r="Q638" s="150"/>
      <c r="R638" s="158"/>
      <c r="S638" s="158"/>
      <c r="T638" s="158"/>
      <c r="U638" s="158"/>
      <c r="V638" s="1"/>
      <c r="W638" s="1"/>
      <c r="X638" s="157"/>
      <c r="Y638" s="157"/>
      <c r="Z638" s="157"/>
      <c r="AA638" s="157"/>
      <c r="AB638" s="157"/>
      <c r="AC638" s="151"/>
      <c r="AD638" s="151"/>
      <c r="AE638" s="151"/>
      <c r="AF638" s="157"/>
      <c r="AG638" s="157"/>
      <c r="AH638" s="157"/>
      <c r="AI638" s="157"/>
      <c r="AJ638" s="157"/>
      <c r="AK638" s="157"/>
      <c r="AL638" s="157"/>
      <c r="AM638" s="157"/>
      <c r="AN638" s="159"/>
      <c r="AO638" s="159"/>
      <c r="AP638" s="160"/>
      <c r="AQ638" s="160"/>
      <c r="AR638" s="160"/>
      <c r="AS638" s="159"/>
      <c r="AT638" s="159"/>
      <c r="AU638" s="161"/>
      <c r="AV638" s="157"/>
      <c r="AW638" s="157"/>
      <c r="AX638" s="157"/>
      <c r="AY638" s="157"/>
      <c r="AZ638" s="157"/>
      <c r="BA638" s="157"/>
      <c r="BB638" s="157"/>
      <c r="BC638" s="151"/>
      <c r="BD638" s="157"/>
      <c r="BE638" s="157"/>
      <c r="BF638" s="157"/>
      <c r="BG638" s="157"/>
      <c r="BH638" s="157"/>
      <c r="BI638" s="157"/>
      <c r="BJ638" s="353"/>
      <c r="BK638" s="353"/>
      <c r="BL638" s="353"/>
      <c r="BM638" s="14"/>
      <c r="BN638" s="14"/>
      <c r="BO638" s="14"/>
    </row>
    <row r="639" spans="1:67" ht="20.100000000000001" customHeight="1">
      <c r="A639" s="157"/>
      <c r="B639" s="1"/>
      <c r="C639" s="157"/>
      <c r="D639" s="1"/>
      <c r="E639" s="150"/>
      <c r="F639" s="150"/>
      <c r="G639" s="151"/>
      <c r="H639" s="150"/>
      <c r="I639" s="150"/>
      <c r="J639" s="151"/>
      <c r="K639" s="151"/>
      <c r="L639" s="150"/>
      <c r="M639" s="151"/>
      <c r="N639" s="151"/>
      <c r="O639" s="151"/>
      <c r="P639" s="150"/>
      <c r="Q639" s="150"/>
      <c r="R639" s="158"/>
      <c r="S639" s="158"/>
      <c r="T639" s="158"/>
      <c r="U639" s="158"/>
      <c r="V639" s="1"/>
      <c r="W639" s="1"/>
      <c r="X639" s="157"/>
      <c r="Y639" s="157"/>
      <c r="Z639" s="157"/>
      <c r="AA639" s="157"/>
      <c r="AB639" s="157"/>
      <c r="AC639" s="151"/>
      <c r="AD639" s="151"/>
      <c r="AE639" s="151"/>
      <c r="AF639" s="157"/>
      <c r="AG639" s="157"/>
      <c r="AH639" s="157"/>
      <c r="AI639" s="157"/>
      <c r="AJ639" s="157"/>
      <c r="AK639" s="157"/>
      <c r="AL639" s="157"/>
      <c r="AM639" s="157"/>
      <c r="AN639" s="159"/>
      <c r="AO639" s="159"/>
      <c r="AP639" s="160"/>
      <c r="AQ639" s="160"/>
      <c r="AR639" s="160"/>
      <c r="AS639" s="159"/>
      <c r="AT639" s="159"/>
      <c r="AU639" s="161"/>
      <c r="AV639" s="157"/>
      <c r="AW639" s="157"/>
      <c r="AX639" s="157"/>
      <c r="AY639" s="157"/>
      <c r="AZ639" s="157"/>
      <c r="BA639" s="157"/>
      <c r="BB639" s="157"/>
      <c r="BC639" s="151"/>
      <c r="BD639" s="157"/>
      <c r="BE639" s="157"/>
      <c r="BF639" s="157"/>
      <c r="BG639" s="157"/>
      <c r="BH639" s="157"/>
      <c r="BI639" s="157"/>
      <c r="BJ639" s="353"/>
      <c r="BK639" s="353"/>
      <c r="BL639" s="353"/>
      <c r="BM639" s="14"/>
      <c r="BN639" s="14"/>
      <c r="BO639" s="14"/>
    </row>
    <row r="640" spans="1:67" ht="20.100000000000001" customHeight="1">
      <c r="A640" s="157"/>
      <c r="B640" s="1"/>
      <c r="C640" s="157"/>
      <c r="D640" s="1"/>
      <c r="E640" s="150"/>
      <c r="F640" s="150"/>
      <c r="G640" s="151"/>
      <c r="H640" s="150"/>
      <c r="I640" s="150"/>
      <c r="J640" s="151"/>
      <c r="K640" s="151"/>
      <c r="L640" s="150"/>
      <c r="M640" s="151"/>
      <c r="N640" s="151"/>
      <c r="O640" s="151"/>
      <c r="P640" s="150"/>
      <c r="Q640" s="150"/>
      <c r="R640" s="158"/>
      <c r="S640" s="158"/>
      <c r="T640" s="158"/>
      <c r="U640" s="158"/>
      <c r="V640" s="1"/>
      <c r="W640" s="1"/>
      <c r="X640" s="157"/>
      <c r="Y640" s="157"/>
      <c r="Z640" s="157"/>
      <c r="AA640" s="157"/>
      <c r="AB640" s="157"/>
      <c r="AC640" s="151"/>
      <c r="AD640" s="151"/>
      <c r="AE640" s="151"/>
      <c r="AF640" s="157"/>
      <c r="AG640" s="157"/>
      <c r="AH640" s="157"/>
      <c r="AI640" s="157"/>
      <c r="AJ640" s="157"/>
      <c r="AK640" s="157"/>
      <c r="AL640" s="157"/>
      <c r="AM640" s="157"/>
      <c r="AN640" s="159"/>
      <c r="AO640" s="159"/>
      <c r="AP640" s="160"/>
      <c r="AQ640" s="160"/>
      <c r="AR640" s="160"/>
      <c r="AS640" s="159"/>
      <c r="AT640" s="159"/>
      <c r="AU640" s="161"/>
      <c r="AV640" s="157"/>
      <c r="AW640" s="157"/>
      <c r="AX640" s="157"/>
      <c r="AY640" s="157"/>
      <c r="AZ640" s="157"/>
      <c r="BA640" s="157"/>
      <c r="BB640" s="157"/>
      <c r="BC640" s="151"/>
      <c r="BD640" s="157"/>
      <c r="BE640" s="157"/>
      <c r="BF640" s="157"/>
      <c r="BG640" s="157"/>
      <c r="BH640" s="157"/>
      <c r="BI640" s="157"/>
      <c r="BJ640" s="353"/>
      <c r="BK640" s="353"/>
      <c r="BL640" s="353"/>
      <c r="BM640" s="14"/>
      <c r="BN640" s="14"/>
      <c r="BO640" s="14"/>
    </row>
    <row r="641" spans="1:67" ht="20.100000000000001" customHeight="1">
      <c r="A641" s="157"/>
      <c r="B641" s="1"/>
      <c r="C641" s="157"/>
      <c r="D641" s="1"/>
      <c r="E641" s="150"/>
      <c r="F641" s="150"/>
      <c r="G641" s="151"/>
      <c r="H641" s="150"/>
      <c r="I641" s="150"/>
      <c r="J641" s="151"/>
      <c r="K641" s="151"/>
      <c r="L641" s="150"/>
      <c r="M641" s="151"/>
      <c r="N641" s="151"/>
      <c r="O641" s="151"/>
      <c r="P641" s="150"/>
      <c r="Q641" s="150"/>
      <c r="R641" s="158"/>
      <c r="S641" s="158"/>
      <c r="T641" s="158"/>
      <c r="U641" s="158"/>
      <c r="V641" s="1"/>
      <c r="W641" s="1"/>
      <c r="X641" s="157"/>
      <c r="Y641" s="157"/>
      <c r="Z641" s="157"/>
      <c r="AA641" s="157"/>
      <c r="AB641" s="157"/>
      <c r="AC641" s="151"/>
      <c r="AD641" s="151"/>
      <c r="AE641" s="151"/>
      <c r="AF641" s="157"/>
      <c r="AG641" s="157"/>
      <c r="AH641" s="157"/>
      <c r="AI641" s="157"/>
      <c r="AJ641" s="157"/>
      <c r="AK641" s="157"/>
      <c r="AL641" s="157"/>
      <c r="AM641" s="157"/>
      <c r="AN641" s="159"/>
      <c r="AO641" s="159"/>
      <c r="AP641" s="160"/>
      <c r="AQ641" s="160"/>
      <c r="AR641" s="160"/>
      <c r="AS641" s="159"/>
      <c r="AT641" s="159"/>
      <c r="AU641" s="161"/>
      <c r="AV641" s="157"/>
      <c r="AW641" s="157"/>
      <c r="AX641" s="157"/>
      <c r="AY641" s="157"/>
      <c r="AZ641" s="157"/>
      <c r="BA641" s="157"/>
      <c r="BB641" s="157"/>
      <c r="BC641" s="151"/>
      <c r="BD641" s="157"/>
      <c r="BE641" s="157"/>
      <c r="BF641" s="157"/>
      <c r="BG641" s="157"/>
      <c r="BH641" s="157"/>
      <c r="BI641" s="157"/>
      <c r="BJ641" s="353"/>
      <c r="BK641" s="353"/>
      <c r="BL641" s="353"/>
      <c r="BM641" s="14"/>
      <c r="BN641" s="14"/>
      <c r="BO641" s="14"/>
    </row>
    <row r="642" spans="1:67" ht="20.100000000000001" customHeight="1">
      <c r="A642" s="157"/>
      <c r="B642" s="1"/>
      <c r="C642" s="157"/>
      <c r="D642" s="1"/>
      <c r="E642" s="150"/>
      <c r="F642" s="150"/>
      <c r="G642" s="151"/>
      <c r="H642" s="150"/>
      <c r="I642" s="150"/>
      <c r="J642" s="151"/>
      <c r="K642" s="151"/>
      <c r="L642" s="150"/>
      <c r="M642" s="151"/>
      <c r="N642" s="151"/>
      <c r="O642" s="151"/>
      <c r="P642" s="150"/>
      <c r="Q642" s="150"/>
      <c r="R642" s="158"/>
      <c r="S642" s="158"/>
      <c r="T642" s="158"/>
      <c r="U642" s="158"/>
      <c r="V642" s="1"/>
      <c r="W642" s="1"/>
      <c r="X642" s="157"/>
      <c r="Y642" s="157"/>
      <c r="Z642" s="157"/>
      <c r="AA642" s="157"/>
      <c r="AB642" s="157"/>
      <c r="AC642" s="151"/>
      <c r="AD642" s="151"/>
      <c r="AE642" s="151"/>
      <c r="AF642" s="157"/>
      <c r="AG642" s="157"/>
      <c r="AH642" s="157"/>
      <c r="AI642" s="157"/>
      <c r="AJ642" s="157"/>
      <c r="AK642" s="157"/>
      <c r="AL642" s="157"/>
      <c r="AM642" s="157"/>
      <c r="AN642" s="159"/>
      <c r="AO642" s="159"/>
      <c r="AP642" s="160"/>
      <c r="AQ642" s="160"/>
      <c r="AR642" s="160"/>
      <c r="AS642" s="159"/>
      <c r="AT642" s="159"/>
      <c r="AU642" s="161"/>
      <c r="AV642" s="157"/>
      <c r="AW642" s="157"/>
      <c r="AX642" s="157"/>
      <c r="AY642" s="157"/>
      <c r="AZ642" s="157"/>
      <c r="BA642" s="157"/>
      <c r="BB642" s="157"/>
      <c r="BC642" s="151"/>
      <c r="BD642" s="157"/>
      <c r="BE642" s="157"/>
      <c r="BF642" s="157"/>
      <c r="BG642" s="157"/>
      <c r="BH642" s="157"/>
      <c r="BI642" s="157"/>
      <c r="BJ642" s="353"/>
      <c r="BK642" s="353"/>
      <c r="BL642" s="353"/>
      <c r="BM642" s="14"/>
      <c r="BN642" s="14"/>
      <c r="BO642" s="14"/>
    </row>
    <row r="643" spans="1:67" ht="20.100000000000001" customHeight="1">
      <c r="A643" s="157"/>
      <c r="B643" s="1"/>
      <c r="C643" s="157"/>
      <c r="D643" s="1"/>
      <c r="E643" s="150"/>
      <c r="F643" s="150"/>
      <c r="G643" s="151"/>
      <c r="H643" s="150"/>
      <c r="I643" s="150"/>
      <c r="J643" s="151"/>
      <c r="K643" s="151"/>
      <c r="L643" s="150"/>
      <c r="M643" s="151"/>
      <c r="N643" s="151"/>
      <c r="O643" s="151"/>
      <c r="P643" s="150"/>
      <c r="Q643" s="150"/>
      <c r="R643" s="158"/>
      <c r="S643" s="158"/>
      <c r="T643" s="158"/>
      <c r="U643" s="158"/>
      <c r="V643" s="1"/>
      <c r="W643" s="1"/>
      <c r="X643" s="157"/>
      <c r="Y643" s="157"/>
      <c r="Z643" s="157"/>
      <c r="AA643" s="157"/>
      <c r="AB643" s="157"/>
      <c r="AC643" s="151"/>
      <c r="AD643" s="151"/>
      <c r="AE643" s="151"/>
      <c r="AF643" s="157"/>
      <c r="AG643" s="157"/>
      <c r="AH643" s="157"/>
      <c r="AI643" s="157"/>
      <c r="AJ643" s="157"/>
      <c r="AK643" s="157"/>
      <c r="AL643" s="157"/>
      <c r="AM643" s="157"/>
      <c r="AN643" s="159"/>
      <c r="AO643" s="159"/>
      <c r="AP643" s="160"/>
      <c r="AQ643" s="160"/>
      <c r="AR643" s="160"/>
      <c r="AS643" s="159"/>
      <c r="AT643" s="159"/>
      <c r="AU643" s="161"/>
      <c r="AV643" s="157"/>
      <c r="AW643" s="157"/>
      <c r="AX643" s="157"/>
      <c r="AY643" s="157"/>
      <c r="AZ643" s="157"/>
      <c r="BA643" s="157"/>
      <c r="BB643" s="157"/>
      <c r="BC643" s="151"/>
      <c r="BD643" s="157"/>
      <c r="BE643" s="157"/>
      <c r="BF643" s="157"/>
      <c r="BG643" s="157"/>
      <c r="BH643" s="157"/>
      <c r="BI643" s="157"/>
      <c r="BJ643" s="353"/>
      <c r="BK643" s="353"/>
      <c r="BL643" s="353"/>
      <c r="BM643" s="14"/>
      <c r="BN643" s="14"/>
      <c r="BO643" s="14"/>
    </row>
    <row r="644" spans="1:67" ht="20.100000000000001" customHeight="1">
      <c r="A644" s="157"/>
      <c r="B644" s="1"/>
      <c r="C644" s="157"/>
      <c r="D644" s="1"/>
      <c r="E644" s="150"/>
      <c r="F644" s="150"/>
      <c r="G644" s="151"/>
      <c r="H644" s="150"/>
      <c r="I644" s="150"/>
      <c r="J644" s="151"/>
      <c r="K644" s="151"/>
      <c r="L644" s="150"/>
      <c r="M644" s="151"/>
      <c r="N644" s="151"/>
      <c r="O644" s="151"/>
      <c r="P644" s="150"/>
      <c r="Q644" s="150"/>
      <c r="R644" s="158"/>
      <c r="S644" s="158"/>
      <c r="T644" s="158"/>
      <c r="U644" s="158"/>
      <c r="V644" s="1"/>
      <c r="W644" s="1"/>
      <c r="X644" s="157"/>
      <c r="Y644" s="157"/>
      <c r="Z644" s="157"/>
      <c r="AA644" s="157"/>
      <c r="AB644" s="157"/>
      <c r="AC644" s="151"/>
      <c r="AD644" s="151"/>
      <c r="AE644" s="151"/>
      <c r="AF644" s="157"/>
      <c r="AG644" s="157"/>
      <c r="AH644" s="157"/>
      <c r="AI644" s="157"/>
      <c r="AJ644" s="157"/>
      <c r="AK644" s="157"/>
      <c r="AL644" s="157"/>
      <c r="AM644" s="157"/>
      <c r="AN644" s="159"/>
      <c r="AO644" s="159"/>
      <c r="AP644" s="160"/>
      <c r="AQ644" s="160"/>
      <c r="AR644" s="160"/>
      <c r="AS644" s="159"/>
      <c r="AT644" s="159"/>
      <c r="AU644" s="161"/>
      <c r="AV644" s="157"/>
      <c r="AW644" s="157"/>
      <c r="AX644" s="157"/>
      <c r="AY644" s="157"/>
      <c r="AZ644" s="157"/>
      <c r="BA644" s="157"/>
      <c r="BB644" s="157"/>
      <c r="BC644" s="151"/>
      <c r="BD644" s="157"/>
      <c r="BE644" s="157"/>
      <c r="BF644" s="157"/>
      <c r="BG644" s="157"/>
      <c r="BH644" s="157"/>
      <c r="BI644" s="157"/>
      <c r="BJ644" s="353"/>
      <c r="BK644" s="353"/>
      <c r="BL644" s="353"/>
      <c r="BM644" s="14"/>
      <c r="BN644" s="14"/>
      <c r="BO644" s="14"/>
    </row>
    <row r="645" spans="1:67" ht="20.100000000000001" customHeight="1">
      <c r="A645" s="157"/>
      <c r="B645" s="1"/>
      <c r="C645" s="157"/>
      <c r="D645" s="1"/>
      <c r="E645" s="150"/>
      <c r="F645" s="150"/>
      <c r="G645" s="151"/>
      <c r="H645" s="150"/>
      <c r="I645" s="150"/>
      <c r="J645" s="151"/>
      <c r="K645" s="151"/>
      <c r="L645" s="150"/>
      <c r="M645" s="151"/>
      <c r="N645" s="151"/>
      <c r="O645" s="151"/>
      <c r="P645" s="150"/>
      <c r="Q645" s="150"/>
      <c r="R645" s="158"/>
      <c r="S645" s="158"/>
      <c r="T645" s="158"/>
      <c r="U645" s="158"/>
      <c r="V645" s="1"/>
      <c r="W645" s="1"/>
      <c r="X645" s="157"/>
      <c r="Y645" s="157"/>
      <c r="Z645" s="157"/>
      <c r="AA645" s="157"/>
      <c r="AB645" s="157"/>
      <c r="AC645" s="151"/>
      <c r="AD645" s="151"/>
      <c r="AE645" s="151"/>
      <c r="AF645" s="157"/>
      <c r="AG645" s="157"/>
      <c r="AH645" s="157"/>
      <c r="AI645" s="157"/>
      <c r="AJ645" s="157"/>
      <c r="AK645" s="157"/>
      <c r="AL645" s="157"/>
      <c r="AM645" s="157"/>
      <c r="AN645" s="159"/>
      <c r="AO645" s="159"/>
      <c r="AP645" s="160"/>
      <c r="AQ645" s="160"/>
      <c r="AR645" s="160"/>
      <c r="AS645" s="159"/>
      <c r="AT645" s="159"/>
      <c r="AU645" s="161"/>
      <c r="AV645" s="157"/>
      <c r="AW645" s="157"/>
      <c r="AX645" s="157"/>
      <c r="AY645" s="157"/>
      <c r="AZ645" s="157"/>
      <c r="BA645" s="157"/>
      <c r="BB645" s="157"/>
      <c r="BC645" s="151"/>
      <c r="BD645" s="157"/>
      <c r="BE645" s="157"/>
      <c r="BF645" s="157"/>
      <c r="BG645" s="157"/>
      <c r="BH645" s="157"/>
      <c r="BI645" s="157"/>
      <c r="BJ645" s="353"/>
      <c r="BK645" s="353"/>
      <c r="BL645" s="353"/>
      <c r="BM645" s="14"/>
      <c r="BN645" s="14"/>
      <c r="BO645" s="14"/>
    </row>
    <row r="646" spans="1:67" ht="20.100000000000001" customHeight="1">
      <c r="A646" s="157"/>
      <c r="B646" s="1"/>
      <c r="C646" s="157"/>
      <c r="D646" s="1"/>
      <c r="E646" s="150"/>
      <c r="F646" s="150"/>
      <c r="G646" s="151"/>
      <c r="H646" s="150"/>
      <c r="I646" s="150"/>
      <c r="J646" s="151"/>
      <c r="K646" s="151"/>
      <c r="L646" s="150"/>
      <c r="M646" s="151"/>
      <c r="N646" s="151"/>
      <c r="O646" s="151"/>
      <c r="P646" s="150"/>
      <c r="Q646" s="150"/>
      <c r="R646" s="158"/>
      <c r="S646" s="158"/>
      <c r="T646" s="158"/>
      <c r="U646" s="158"/>
      <c r="V646" s="1"/>
      <c r="W646" s="1"/>
      <c r="X646" s="157"/>
      <c r="Y646" s="157"/>
      <c r="Z646" s="157"/>
      <c r="AA646" s="157"/>
      <c r="AB646" s="157"/>
      <c r="AC646" s="151"/>
      <c r="AD646" s="151"/>
      <c r="AE646" s="151"/>
      <c r="AF646" s="157"/>
      <c r="AG646" s="157"/>
      <c r="AH646" s="157"/>
      <c r="AI646" s="157"/>
      <c r="AJ646" s="157"/>
      <c r="AK646" s="157"/>
      <c r="AL646" s="157"/>
      <c r="AM646" s="157"/>
      <c r="AN646" s="159"/>
      <c r="AO646" s="159"/>
      <c r="AP646" s="160"/>
      <c r="AQ646" s="160"/>
      <c r="AR646" s="160"/>
      <c r="AS646" s="159"/>
      <c r="AT646" s="159"/>
      <c r="AU646" s="161"/>
      <c r="AV646" s="157"/>
      <c r="AW646" s="157"/>
      <c r="AX646" s="157"/>
      <c r="AY646" s="157"/>
      <c r="AZ646" s="157"/>
      <c r="BA646" s="157"/>
      <c r="BB646" s="157"/>
      <c r="BC646" s="151"/>
      <c r="BD646" s="157"/>
      <c r="BE646" s="157"/>
      <c r="BF646" s="157"/>
      <c r="BG646" s="157"/>
      <c r="BH646" s="157"/>
      <c r="BI646" s="157"/>
      <c r="BJ646" s="353"/>
      <c r="BK646" s="353"/>
      <c r="BL646" s="353"/>
      <c r="BM646" s="14"/>
      <c r="BN646" s="14"/>
      <c r="BO646" s="14"/>
    </row>
    <row r="647" spans="1:67" ht="20.100000000000001" customHeight="1">
      <c r="A647" s="157"/>
      <c r="B647" s="1"/>
      <c r="C647" s="157"/>
      <c r="D647" s="1"/>
      <c r="E647" s="150"/>
      <c r="F647" s="150"/>
      <c r="G647" s="151"/>
      <c r="H647" s="150"/>
      <c r="I647" s="150"/>
      <c r="J647" s="151"/>
      <c r="K647" s="151"/>
      <c r="L647" s="150"/>
      <c r="M647" s="151"/>
      <c r="N647" s="151"/>
      <c r="O647" s="151"/>
      <c r="P647" s="150"/>
      <c r="Q647" s="150"/>
      <c r="R647" s="158"/>
      <c r="S647" s="158"/>
      <c r="T647" s="158"/>
      <c r="U647" s="158"/>
      <c r="V647" s="1"/>
      <c r="W647" s="1"/>
      <c r="X647" s="157"/>
      <c r="Y647" s="157"/>
      <c r="Z647" s="157"/>
      <c r="AA647" s="157"/>
      <c r="AB647" s="157"/>
      <c r="AC647" s="151"/>
      <c r="AD647" s="151"/>
      <c r="AE647" s="151"/>
      <c r="AF647" s="157"/>
      <c r="AG647" s="157"/>
      <c r="AH647" s="157"/>
      <c r="AI647" s="157"/>
      <c r="AJ647" s="157"/>
      <c r="AK647" s="157"/>
      <c r="AL647" s="157"/>
      <c r="AM647" s="157"/>
      <c r="AN647" s="159"/>
      <c r="AO647" s="159"/>
      <c r="AP647" s="160"/>
      <c r="AQ647" s="160"/>
      <c r="AR647" s="160"/>
      <c r="AS647" s="159"/>
      <c r="AT647" s="159"/>
      <c r="AU647" s="161"/>
      <c r="AV647" s="157"/>
      <c r="AW647" s="157"/>
      <c r="AX647" s="157"/>
      <c r="AY647" s="157"/>
      <c r="AZ647" s="157"/>
      <c r="BA647" s="157"/>
      <c r="BB647" s="157"/>
      <c r="BC647" s="151"/>
      <c r="BD647" s="157"/>
      <c r="BE647" s="157"/>
      <c r="BF647" s="157"/>
      <c r="BG647" s="157"/>
      <c r="BH647" s="157"/>
      <c r="BI647" s="157"/>
      <c r="BJ647" s="353"/>
      <c r="BK647" s="353"/>
      <c r="BL647" s="353"/>
      <c r="BM647" s="14"/>
      <c r="BN647" s="14"/>
      <c r="BO647" s="14"/>
    </row>
    <row r="648" spans="1:67" ht="20.100000000000001" customHeight="1">
      <c r="A648" s="157"/>
      <c r="B648" s="1"/>
      <c r="C648" s="157"/>
      <c r="D648" s="1"/>
      <c r="E648" s="150"/>
      <c r="F648" s="150"/>
      <c r="G648" s="151"/>
      <c r="H648" s="150"/>
      <c r="I648" s="150"/>
      <c r="J648" s="151"/>
      <c r="K648" s="151"/>
      <c r="L648" s="150"/>
      <c r="M648" s="151"/>
      <c r="N648" s="151"/>
      <c r="O648" s="151"/>
      <c r="P648" s="150"/>
      <c r="Q648" s="150"/>
      <c r="R648" s="158"/>
      <c r="S648" s="158"/>
      <c r="T648" s="158"/>
      <c r="U648" s="158"/>
      <c r="V648" s="1"/>
      <c r="W648" s="1"/>
      <c r="X648" s="157"/>
      <c r="Y648" s="157"/>
      <c r="Z648" s="157"/>
      <c r="AA648" s="157"/>
      <c r="AB648" s="157"/>
      <c r="AC648" s="151"/>
      <c r="AD648" s="151"/>
      <c r="AE648" s="151"/>
      <c r="AF648" s="157"/>
      <c r="AG648" s="157"/>
      <c r="AH648" s="157"/>
      <c r="AI648" s="157"/>
      <c r="AJ648" s="157"/>
      <c r="AK648" s="157"/>
      <c r="AL648" s="157"/>
      <c r="AM648" s="157"/>
      <c r="AN648" s="159"/>
      <c r="AO648" s="159"/>
      <c r="AP648" s="160"/>
      <c r="AQ648" s="160"/>
      <c r="AR648" s="160"/>
      <c r="AS648" s="159"/>
      <c r="AT648" s="159"/>
      <c r="AU648" s="161"/>
      <c r="AV648" s="157"/>
      <c r="AW648" s="157"/>
      <c r="AX648" s="157"/>
      <c r="AY648" s="157"/>
      <c r="AZ648" s="157"/>
      <c r="BA648" s="157"/>
      <c r="BB648" s="157"/>
      <c r="BC648" s="151"/>
      <c r="BD648" s="157"/>
      <c r="BE648" s="157"/>
      <c r="BF648" s="157"/>
      <c r="BG648" s="157"/>
      <c r="BH648" s="157"/>
      <c r="BI648" s="157"/>
      <c r="BJ648" s="353"/>
      <c r="BK648" s="353"/>
      <c r="BL648" s="353"/>
      <c r="BM648" s="14"/>
      <c r="BN648" s="14"/>
      <c r="BO648" s="14"/>
    </row>
    <row r="649" spans="1:67" ht="20.100000000000001" customHeight="1">
      <c r="A649" s="157"/>
      <c r="B649" s="1"/>
      <c r="C649" s="157"/>
      <c r="D649" s="1"/>
      <c r="E649" s="150"/>
      <c r="F649" s="150"/>
      <c r="G649" s="151"/>
      <c r="H649" s="150"/>
      <c r="I649" s="150"/>
      <c r="J649" s="151"/>
      <c r="K649" s="151"/>
      <c r="L649" s="150"/>
      <c r="M649" s="151"/>
      <c r="N649" s="151"/>
      <c r="O649" s="151"/>
      <c r="P649" s="150"/>
      <c r="Q649" s="150"/>
      <c r="R649" s="158"/>
      <c r="S649" s="158"/>
      <c r="T649" s="158"/>
      <c r="U649" s="158"/>
      <c r="V649" s="1"/>
      <c r="W649" s="1"/>
      <c r="X649" s="157"/>
      <c r="Y649" s="157"/>
      <c r="Z649" s="157"/>
      <c r="AA649" s="157"/>
      <c r="AB649" s="157"/>
      <c r="AC649" s="151"/>
      <c r="AD649" s="151"/>
      <c r="AE649" s="151"/>
      <c r="AF649" s="157"/>
      <c r="AG649" s="157"/>
      <c r="AH649" s="157"/>
      <c r="AI649" s="157"/>
      <c r="AJ649" s="157"/>
      <c r="AK649" s="157"/>
      <c r="AL649" s="157"/>
      <c r="AM649" s="157"/>
      <c r="AN649" s="159"/>
      <c r="AO649" s="159"/>
      <c r="AP649" s="160"/>
      <c r="AQ649" s="160"/>
      <c r="AR649" s="160"/>
      <c r="AS649" s="159"/>
      <c r="AT649" s="159"/>
      <c r="AU649" s="161"/>
      <c r="AV649" s="157"/>
      <c r="AW649" s="157"/>
      <c r="AX649" s="157"/>
      <c r="AY649" s="157"/>
      <c r="AZ649" s="157"/>
      <c r="BA649" s="157"/>
      <c r="BB649" s="157"/>
      <c r="BC649" s="151"/>
      <c r="BD649" s="157"/>
      <c r="BE649" s="157"/>
      <c r="BF649" s="157"/>
      <c r="BG649" s="157"/>
      <c r="BH649" s="157"/>
      <c r="BI649" s="157"/>
      <c r="BJ649" s="353"/>
      <c r="BK649" s="353"/>
      <c r="BL649" s="353"/>
      <c r="BM649" s="14"/>
      <c r="BN649" s="14"/>
      <c r="BO649" s="14"/>
    </row>
    <row r="650" spans="1:67" ht="20.100000000000001" customHeight="1">
      <c r="A650" s="157"/>
      <c r="B650" s="1"/>
      <c r="C650" s="157"/>
      <c r="D650" s="1"/>
      <c r="E650" s="150"/>
      <c r="F650" s="150"/>
      <c r="G650" s="151"/>
      <c r="H650" s="150"/>
      <c r="I650" s="150"/>
      <c r="J650" s="151"/>
      <c r="K650" s="151"/>
      <c r="L650" s="150"/>
      <c r="M650" s="151"/>
      <c r="N650" s="151"/>
      <c r="O650" s="151"/>
      <c r="P650" s="150"/>
      <c r="Q650" s="150"/>
      <c r="R650" s="158"/>
      <c r="S650" s="158"/>
      <c r="T650" s="158"/>
      <c r="U650" s="158"/>
      <c r="V650" s="1"/>
      <c r="W650" s="1"/>
      <c r="X650" s="157"/>
      <c r="Y650" s="157"/>
      <c r="Z650" s="157"/>
      <c r="AA650" s="157"/>
      <c r="AB650" s="157"/>
      <c r="AC650" s="151"/>
      <c r="AD650" s="151"/>
      <c r="AE650" s="151"/>
      <c r="AF650" s="157"/>
      <c r="AG650" s="157"/>
      <c r="AH650" s="157"/>
      <c r="AI650" s="157"/>
      <c r="AJ650" s="157"/>
      <c r="AK650" s="157"/>
      <c r="AL650" s="157"/>
      <c r="AM650" s="157"/>
      <c r="AN650" s="159"/>
      <c r="AO650" s="159"/>
      <c r="AP650" s="160"/>
      <c r="AQ650" s="160"/>
      <c r="AR650" s="160"/>
      <c r="AS650" s="159"/>
      <c r="AT650" s="159"/>
      <c r="AU650" s="161"/>
      <c r="AV650" s="157"/>
      <c r="AW650" s="157"/>
      <c r="AX650" s="157"/>
      <c r="AY650" s="157"/>
      <c r="AZ650" s="157"/>
      <c r="BA650" s="157"/>
      <c r="BB650" s="157"/>
      <c r="BC650" s="151"/>
      <c r="BD650" s="157"/>
      <c r="BE650" s="157"/>
      <c r="BF650" s="157"/>
      <c r="BG650" s="157"/>
      <c r="BH650" s="157"/>
      <c r="BI650" s="157"/>
      <c r="BJ650" s="353"/>
      <c r="BK650" s="353"/>
      <c r="BL650" s="353"/>
      <c r="BM650" s="14"/>
      <c r="BN650" s="14"/>
      <c r="BO650" s="14"/>
    </row>
    <row r="651" spans="1:67" ht="20.100000000000001" customHeight="1">
      <c r="A651" s="157"/>
      <c r="B651" s="1"/>
      <c r="C651" s="157"/>
      <c r="D651" s="1"/>
      <c r="E651" s="150"/>
      <c r="F651" s="150"/>
      <c r="G651" s="151"/>
      <c r="H651" s="150"/>
      <c r="I651" s="150"/>
      <c r="J651" s="151"/>
      <c r="K651" s="151"/>
      <c r="L651" s="150"/>
      <c r="M651" s="151"/>
      <c r="N651" s="151"/>
      <c r="O651" s="151"/>
      <c r="P651" s="150"/>
      <c r="Q651" s="150"/>
      <c r="R651" s="158"/>
      <c r="S651" s="158"/>
      <c r="T651" s="158"/>
      <c r="U651" s="158"/>
      <c r="V651" s="1"/>
      <c r="W651" s="1"/>
      <c r="X651" s="157"/>
      <c r="Y651" s="157"/>
      <c r="Z651" s="157"/>
      <c r="AA651" s="157"/>
      <c r="AB651" s="157"/>
      <c r="AC651" s="151"/>
      <c r="AD651" s="151"/>
      <c r="AE651" s="151"/>
      <c r="AF651" s="157"/>
      <c r="AG651" s="157"/>
      <c r="AH651" s="157"/>
      <c r="AI651" s="157"/>
      <c r="AJ651" s="157"/>
      <c r="AK651" s="157"/>
      <c r="AL651" s="157"/>
      <c r="AM651" s="157"/>
      <c r="AN651" s="159"/>
      <c r="AO651" s="159"/>
      <c r="AP651" s="160"/>
      <c r="AQ651" s="160"/>
      <c r="AR651" s="160"/>
      <c r="AS651" s="159"/>
      <c r="AT651" s="159"/>
      <c r="AU651" s="161"/>
      <c r="AV651" s="157"/>
      <c r="AW651" s="157"/>
      <c r="AX651" s="157"/>
      <c r="AY651" s="157"/>
      <c r="AZ651" s="157"/>
      <c r="BA651" s="157"/>
      <c r="BB651" s="157"/>
      <c r="BC651" s="151"/>
      <c r="BD651" s="157"/>
      <c r="BE651" s="157"/>
      <c r="BF651" s="157"/>
      <c r="BG651" s="157"/>
      <c r="BH651" s="157"/>
      <c r="BI651" s="157"/>
      <c r="BJ651" s="353"/>
      <c r="BK651" s="353"/>
      <c r="BL651" s="353"/>
      <c r="BM651" s="14"/>
      <c r="BN651" s="14"/>
      <c r="BO651" s="14"/>
    </row>
    <row r="652" spans="1:67" ht="20.100000000000001" customHeight="1">
      <c r="A652" s="157"/>
      <c r="B652" s="1"/>
      <c r="C652" s="157"/>
      <c r="D652" s="1"/>
      <c r="E652" s="150"/>
      <c r="F652" s="150"/>
      <c r="G652" s="151"/>
      <c r="H652" s="150"/>
      <c r="I652" s="150"/>
      <c r="J652" s="151"/>
      <c r="K652" s="151"/>
      <c r="L652" s="150"/>
      <c r="M652" s="151"/>
      <c r="N652" s="151"/>
      <c r="O652" s="151"/>
      <c r="P652" s="150"/>
      <c r="Q652" s="150"/>
      <c r="R652" s="158"/>
      <c r="S652" s="158"/>
      <c r="T652" s="158"/>
      <c r="U652" s="158"/>
      <c r="V652" s="1"/>
      <c r="W652" s="1"/>
      <c r="X652" s="157"/>
      <c r="Y652" s="157"/>
      <c r="Z652" s="157"/>
      <c r="AA652" s="157"/>
      <c r="AB652" s="157"/>
      <c r="AC652" s="151"/>
      <c r="AD652" s="151"/>
      <c r="AE652" s="151"/>
      <c r="AF652" s="157"/>
      <c r="AG652" s="157"/>
      <c r="AH652" s="157"/>
      <c r="AI652" s="157"/>
      <c r="AJ652" s="157"/>
      <c r="AK652" s="157"/>
      <c r="AL652" s="157"/>
      <c r="AM652" s="157"/>
      <c r="AN652" s="159"/>
      <c r="AO652" s="159"/>
      <c r="AP652" s="160"/>
      <c r="AQ652" s="160"/>
      <c r="AR652" s="160"/>
      <c r="AS652" s="159"/>
      <c r="AT652" s="159"/>
      <c r="AU652" s="161"/>
      <c r="AV652" s="157"/>
      <c r="AW652" s="157"/>
      <c r="AX652" s="157"/>
      <c r="AY652" s="157"/>
      <c r="AZ652" s="157"/>
      <c r="BA652" s="157"/>
      <c r="BB652" s="157"/>
      <c r="BC652" s="151"/>
      <c r="BD652" s="157"/>
      <c r="BE652" s="157"/>
      <c r="BF652" s="157"/>
      <c r="BG652" s="157"/>
      <c r="BH652" s="157"/>
      <c r="BI652" s="157"/>
      <c r="BJ652" s="353"/>
      <c r="BK652" s="353"/>
      <c r="BL652" s="353"/>
      <c r="BM652" s="14"/>
      <c r="BN652" s="14"/>
      <c r="BO652" s="14"/>
    </row>
    <row r="653" spans="1:67" ht="20.100000000000001" customHeight="1">
      <c r="A653" s="157"/>
      <c r="B653" s="1"/>
      <c r="C653" s="157"/>
      <c r="D653" s="1"/>
      <c r="E653" s="150"/>
      <c r="F653" s="150"/>
      <c r="G653" s="151"/>
      <c r="H653" s="150"/>
      <c r="I653" s="150"/>
      <c r="J653" s="151"/>
      <c r="K653" s="151"/>
      <c r="L653" s="150"/>
      <c r="M653" s="151"/>
      <c r="N653" s="151"/>
      <c r="O653" s="151"/>
      <c r="P653" s="150"/>
      <c r="Q653" s="150"/>
      <c r="R653" s="158"/>
      <c r="S653" s="158"/>
      <c r="T653" s="158"/>
      <c r="U653" s="158"/>
      <c r="V653" s="1"/>
      <c r="W653" s="1"/>
      <c r="X653" s="157"/>
      <c r="Y653" s="157"/>
      <c r="Z653" s="157"/>
      <c r="AA653" s="157"/>
      <c r="AB653" s="157"/>
      <c r="AC653" s="151"/>
      <c r="AD653" s="151"/>
      <c r="AE653" s="151"/>
      <c r="AF653" s="157"/>
      <c r="AG653" s="157"/>
      <c r="AH653" s="157"/>
      <c r="AI653" s="157"/>
      <c r="AJ653" s="157"/>
      <c r="AK653" s="157"/>
      <c r="AL653" s="157"/>
      <c r="AM653" s="157"/>
      <c r="AN653" s="159"/>
      <c r="AO653" s="159"/>
      <c r="AP653" s="160"/>
      <c r="AQ653" s="160"/>
      <c r="AR653" s="160"/>
      <c r="AS653" s="159"/>
      <c r="AT653" s="159"/>
      <c r="AU653" s="161"/>
      <c r="AV653" s="157"/>
      <c r="AW653" s="157"/>
      <c r="AX653" s="157"/>
      <c r="AY653" s="157"/>
      <c r="AZ653" s="157"/>
      <c r="BA653" s="157"/>
      <c r="BB653" s="157"/>
      <c r="BC653" s="151"/>
      <c r="BD653" s="157"/>
      <c r="BE653" s="157"/>
      <c r="BF653" s="157"/>
      <c r="BG653" s="157"/>
      <c r="BH653" s="157"/>
      <c r="BI653" s="157"/>
      <c r="BJ653" s="353"/>
      <c r="BK653" s="353"/>
      <c r="BL653" s="353"/>
      <c r="BM653" s="14"/>
      <c r="BN653" s="14"/>
      <c r="BO653" s="14"/>
    </row>
    <row r="654" spans="1:67" ht="20.100000000000001" customHeight="1">
      <c r="A654" s="157"/>
      <c r="B654" s="1"/>
      <c r="C654" s="157"/>
      <c r="D654" s="1"/>
      <c r="E654" s="150"/>
      <c r="F654" s="150"/>
      <c r="G654" s="151"/>
      <c r="H654" s="150"/>
      <c r="I654" s="150"/>
      <c r="J654" s="151"/>
      <c r="K654" s="151"/>
      <c r="L654" s="150"/>
      <c r="M654" s="151"/>
      <c r="N654" s="151"/>
      <c r="O654" s="151"/>
      <c r="P654" s="150"/>
      <c r="Q654" s="150"/>
      <c r="R654" s="158"/>
      <c r="S654" s="158"/>
      <c r="T654" s="158"/>
      <c r="U654" s="158"/>
      <c r="V654" s="1"/>
      <c r="W654" s="1"/>
      <c r="X654" s="157"/>
      <c r="Y654" s="157"/>
      <c r="Z654" s="157"/>
      <c r="AA654" s="157"/>
      <c r="AB654" s="157"/>
      <c r="AC654" s="151"/>
      <c r="AD654" s="151"/>
      <c r="AE654" s="151"/>
      <c r="AF654" s="157"/>
      <c r="AG654" s="157"/>
      <c r="AH654" s="157"/>
      <c r="AI654" s="157"/>
      <c r="AJ654" s="157"/>
      <c r="AK654" s="157"/>
      <c r="AL654" s="157"/>
      <c r="AM654" s="157"/>
      <c r="AN654" s="159"/>
      <c r="AO654" s="159"/>
      <c r="AP654" s="160"/>
      <c r="AQ654" s="160"/>
      <c r="AR654" s="160"/>
      <c r="AS654" s="159"/>
      <c r="AT654" s="159"/>
      <c r="AU654" s="161"/>
      <c r="AV654" s="157"/>
      <c r="AW654" s="157"/>
      <c r="AX654" s="157"/>
      <c r="AY654" s="157"/>
      <c r="AZ654" s="157"/>
      <c r="BA654" s="157"/>
      <c r="BB654" s="157"/>
      <c r="BC654" s="151"/>
      <c r="BD654" s="157"/>
      <c r="BE654" s="157"/>
      <c r="BF654" s="157"/>
      <c r="BG654" s="157"/>
      <c r="BH654" s="157"/>
      <c r="BI654" s="157"/>
      <c r="BJ654" s="353"/>
      <c r="BK654" s="353"/>
      <c r="BL654" s="353"/>
      <c r="BM654" s="14"/>
      <c r="BN654" s="14"/>
      <c r="BO654" s="14"/>
    </row>
    <row r="655" spans="1:67" ht="20.100000000000001" customHeight="1">
      <c r="A655" s="157"/>
      <c r="B655" s="1"/>
      <c r="C655" s="157"/>
      <c r="D655" s="1"/>
      <c r="E655" s="150"/>
      <c r="F655" s="150"/>
      <c r="G655" s="151"/>
      <c r="H655" s="150"/>
      <c r="I655" s="150"/>
      <c r="J655" s="151"/>
      <c r="K655" s="151"/>
      <c r="L655" s="150"/>
      <c r="M655" s="151"/>
      <c r="N655" s="151"/>
      <c r="O655" s="151"/>
      <c r="P655" s="150"/>
      <c r="Q655" s="150"/>
      <c r="R655" s="158"/>
      <c r="S655" s="158"/>
      <c r="T655" s="158"/>
      <c r="U655" s="158"/>
      <c r="V655" s="1"/>
      <c r="W655" s="1"/>
      <c r="X655" s="157"/>
      <c r="Y655" s="157"/>
      <c r="Z655" s="157"/>
      <c r="AA655" s="157"/>
      <c r="AB655" s="157"/>
      <c r="AC655" s="151"/>
      <c r="AD655" s="151"/>
      <c r="AE655" s="151"/>
      <c r="AF655" s="157"/>
      <c r="AG655" s="157"/>
      <c r="AH655" s="157"/>
      <c r="AI655" s="157"/>
      <c r="AJ655" s="157"/>
      <c r="AK655" s="157"/>
      <c r="AL655" s="157"/>
      <c r="AM655" s="157"/>
      <c r="AN655" s="159"/>
      <c r="AO655" s="159"/>
      <c r="AP655" s="160"/>
      <c r="AQ655" s="160"/>
      <c r="AR655" s="160"/>
      <c r="AS655" s="159"/>
      <c r="AT655" s="159"/>
      <c r="AU655" s="161"/>
      <c r="AV655" s="157"/>
      <c r="AW655" s="157"/>
      <c r="AX655" s="157"/>
      <c r="AY655" s="157"/>
      <c r="AZ655" s="157"/>
      <c r="BA655" s="157"/>
      <c r="BB655" s="157"/>
      <c r="BC655" s="151"/>
      <c r="BD655" s="157"/>
      <c r="BE655" s="157"/>
      <c r="BF655" s="157"/>
      <c r="BG655" s="157"/>
      <c r="BH655" s="157"/>
      <c r="BI655" s="157"/>
      <c r="BJ655" s="353"/>
      <c r="BK655" s="353"/>
      <c r="BL655" s="353"/>
      <c r="BM655" s="14"/>
      <c r="BN655" s="14"/>
      <c r="BO655" s="14"/>
    </row>
    <row r="656" spans="1:67" ht="20.100000000000001" customHeight="1">
      <c r="A656" s="157"/>
      <c r="B656" s="1"/>
      <c r="C656" s="157"/>
      <c r="D656" s="1"/>
      <c r="E656" s="150"/>
      <c r="F656" s="150"/>
      <c r="G656" s="151"/>
      <c r="H656" s="150"/>
      <c r="I656" s="150"/>
      <c r="J656" s="151"/>
      <c r="K656" s="151"/>
      <c r="L656" s="150"/>
      <c r="M656" s="151"/>
      <c r="N656" s="151"/>
      <c r="O656" s="151"/>
      <c r="P656" s="150"/>
      <c r="Q656" s="150"/>
      <c r="R656" s="158"/>
      <c r="S656" s="158"/>
      <c r="T656" s="158"/>
      <c r="U656" s="158"/>
      <c r="V656" s="1"/>
      <c r="W656" s="1"/>
      <c r="X656" s="157"/>
      <c r="Y656" s="157"/>
      <c r="Z656" s="157"/>
      <c r="AA656" s="157"/>
      <c r="AB656" s="157"/>
      <c r="AC656" s="151"/>
      <c r="AD656" s="151"/>
      <c r="AE656" s="151"/>
      <c r="AF656" s="157"/>
      <c r="AG656" s="157"/>
      <c r="AH656" s="157"/>
      <c r="AI656" s="157"/>
      <c r="AJ656" s="157"/>
      <c r="AK656" s="157"/>
      <c r="AL656" s="157"/>
      <c r="AM656" s="157"/>
      <c r="AN656" s="159"/>
      <c r="AO656" s="159"/>
      <c r="AP656" s="160"/>
      <c r="AQ656" s="160"/>
      <c r="AR656" s="160"/>
      <c r="AS656" s="159"/>
      <c r="AT656" s="159"/>
      <c r="AU656" s="161"/>
      <c r="AV656" s="157"/>
      <c r="AW656" s="157"/>
      <c r="AX656" s="157"/>
      <c r="AY656" s="157"/>
      <c r="AZ656" s="157"/>
      <c r="BA656" s="157"/>
      <c r="BB656" s="157"/>
      <c r="BC656" s="151"/>
      <c r="BD656" s="157"/>
      <c r="BE656" s="157"/>
      <c r="BF656" s="157"/>
      <c r="BG656" s="157"/>
      <c r="BH656" s="157"/>
      <c r="BI656" s="157"/>
      <c r="BJ656" s="353"/>
      <c r="BK656" s="353"/>
      <c r="BL656" s="353"/>
      <c r="BM656" s="14"/>
      <c r="BN656" s="14"/>
      <c r="BO656" s="14"/>
    </row>
    <row r="657" spans="1:67" ht="20.100000000000001" customHeight="1">
      <c r="A657" s="157"/>
      <c r="B657" s="1"/>
      <c r="C657" s="157"/>
      <c r="D657" s="1"/>
      <c r="E657" s="150"/>
      <c r="F657" s="150"/>
      <c r="G657" s="151"/>
      <c r="H657" s="150"/>
      <c r="I657" s="150"/>
      <c r="J657" s="151"/>
      <c r="K657" s="151"/>
      <c r="L657" s="150"/>
      <c r="M657" s="151"/>
      <c r="N657" s="151"/>
      <c r="O657" s="151"/>
      <c r="P657" s="150"/>
      <c r="Q657" s="150"/>
      <c r="R657" s="158"/>
      <c r="S657" s="158"/>
      <c r="T657" s="158"/>
      <c r="U657" s="158"/>
      <c r="V657" s="1"/>
      <c r="W657" s="1"/>
      <c r="X657" s="157"/>
      <c r="Y657" s="157"/>
      <c r="Z657" s="157"/>
      <c r="AA657" s="157"/>
      <c r="AB657" s="157"/>
      <c r="AC657" s="151"/>
      <c r="AD657" s="151"/>
      <c r="AE657" s="151"/>
      <c r="AF657" s="157"/>
      <c r="AG657" s="157"/>
      <c r="AH657" s="157"/>
      <c r="AI657" s="157"/>
      <c r="AJ657" s="157"/>
      <c r="AK657" s="157"/>
      <c r="AL657" s="157"/>
      <c r="AM657" s="157"/>
      <c r="AN657" s="159"/>
      <c r="AO657" s="159"/>
      <c r="AP657" s="160"/>
      <c r="AQ657" s="160"/>
      <c r="AR657" s="160"/>
      <c r="AS657" s="159"/>
      <c r="AT657" s="159"/>
      <c r="AU657" s="161"/>
      <c r="AV657" s="157"/>
      <c r="AW657" s="157"/>
      <c r="AX657" s="157"/>
      <c r="AY657" s="157"/>
      <c r="AZ657" s="157"/>
      <c r="BA657" s="157"/>
      <c r="BB657" s="157"/>
      <c r="BC657" s="151"/>
      <c r="BD657" s="157"/>
      <c r="BE657" s="157"/>
      <c r="BF657" s="157"/>
      <c r="BG657" s="157"/>
      <c r="BH657" s="157"/>
      <c r="BI657" s="157"/>
      <c r="BJ657" s="353"/>
      <c r="BK657" s="353"/>
      <c r="BL657" s="353"/>
      <c r="BM657" s="14"/>
      <c r="BN657" s="14"/>
      <c r="BO657" s="14"/>
    </row>
    <row r="658" spans="1:67" ht="20.100000000000001" customHeight="1">
      <c r="A658" s="157"/>
      <c r="B658" s="1"/>
      <c r="C658" s="157"/>
      <c r="D658" s="1"/>
      <c r="E658" s="150"/>
      <c r="F658" s="150"/>
      <c r="G658" s="151"/>
      <c r="H658" s="150"/>
      <c r="I658" s="150"/>
      <c r="J658" s="151"/>
      <c r="K658" s="151"/>
      <c r="L658" s="150"/>
      <c r="M658" s="151"/>
      <c r="N658" s="151"/>
      <c r="O658" s="151"/>
      <c r="P658" s="150"/>
      <c r="Q658" s="150"/>
      <c r="R658" s="158"/>
      <c r="S658" s="158"/>
      <c r="T658" s="158"/>
      <c r="U658" s="158"/>
      <c r="V658" s="1"/>
      <c r="W658" s="1"/>
      <c r="X658" s="157"/>
      <c r="Y658" s="157"/>
      <c r="Z658" s="157"/>
      <c r="AA658" s="157"/>
      <c r="AB658" s="157"/>
      <c r="AC658" s="151"/>
      <c r="AD658" s="151"/>
      <c r="AE658" s="151"/>
      <c r="AF658" s="157"/>
      <c r="AG658" s="157"/>
      <c r="AH658" s="157"/>
      <c r="AI658" s="157"/>
      <c r="AJ658" s="157"/>
      <c r="AK658" s="157"/>
      <c r="AL658" s="157"/>
      <c r="AM658" s="157"/>
      <c r="AN658" s="159"/>
      <c r="AO658" s="159"/>
      <c r="AP658" s="160"/>
      <c r="AQ658" s="160"/>
      <c r="AR658" s="160"/>
      <c r="AS658" s="159"/>
      <c r="AT658" s="159"/>
      <c r="AU658" s="161"/>
      <c r="AV658" s="157"/>
      <c r="AW658" s="157"/>
      <c r="AX658" s="157"/>
      <c r="AY658" s="157"/>
      <c r="AZ658" s="157"/>
      <c r="BA658" s="157"/>
      <c r="BB658" s="157"/>
      <c r="BC658" s="151"/>
      <c r="BD658" s="157"/>
      <c r="BE658" s="157"/>
      <c r="BF658" s="157"/>
      <c r="BG658" s="157"/>
      <c r="BH658" s="157"/>
      <c r="BI658" s="157"/>
      <c r="BJ658" s="353"/>
      <c r="BK658" s="353"/>
      <c r="BL658" s="353"/>
      <c r="BM658" s="14"/>
      <c r="BN658" s="14"/>
      <c r="BO658" s="14"/>
    </row>
    <row r="659" spans="1:67" ht="20.100000000000001" customHeight="1">
      <c r="A659" s="157"/>
      <c r="B659" s="1"/>
      <c r="C659" s="157"/>
      <c r="D659" s="1"/>
      <c r="E659" s="150"/>
      <c r="F659" s="150"/>
      <c r="G659" s="151"/>
      <c r="H659" s="150"/>
      <c r="I659" s="150"/>
      <c r="J659" s="151"/>
      <c r="K659" s="151"/>
      <c r="L659" s="150"/>
      <c r="M659" s="151"/>
      <c r="N659" s="151"/>
      <c r="O659" s="151"/>
      <c r="P659" s="150"/>
      <c r="Q659" s="150"/>
      <c r="R659" s="158"/>
      <c r="S659" s="158"/>
      <c r="T659" s="158"/>
      <c r="U659" s="158"/>
      <c r="V659" s="1"/>
      <c r="W659" s="1"/>
      <c r="X659" s="157"/>
      <c r="Y659" s="157"/>
      <c r="Z659" s="157"/>
      <c r="AA659" s="157"/>
      <c r="AB659" s="157"/>
      <c r="AC659" s="151"/>
      <c r="AD659" s="151"/>
      <c r="AE659" s="151"/>
      <c r="AF659" s="157"/>
      <c r="AG659" s="157"/>
      <c r="AH659" s="157"/>
      <c r="AI659" s="157"/>
      <c r="AJ659" s="157"/>
      <c r="AK659" s="157"/>
      <c r="AL659" s="157"/>
      <c r="AM659" s="157"/>
      <c r="AN659" s="159"/>
      <c r="AO659" s="159"/>
      <c r="AP659" s="160"/>
      <c r="AQ659" s="160"/>
      <c r="AR659" s="160"/>
      <c r="AS659" s="159"/>
      <c r="AT659" s="159"/>
      <c r="AU659" s="161"/>
      <c r="AV659" s="157"/>
      <c r="AW659" s="157"/>
      <c r="AX659" s="157"/>
      <c r="AY659" s="157"/>
      <c r="AZ659" s="157"/>
      <c r="BA659" s="157"/>
      <c r="BB659" s="157"/>
      <c r="BC659" s="151"/>
      <c r="BD659" s="157"/>
      <c r="BE659" s="157"/>
      <c r="BF659" s="157"/>
      <c r="BG659" s="157"/>
      <c r="BH659" s="157"/>
      <c r="BI659" s="157"/>
      <c r="BJ659" s="353"/>
      <c r="BK659" s="353"/>
      <c r="BL659" s="353"/>
      <c r="BM659" s="14"/>
      <c r="BN659" s="14"/>
      <c r="BO659" s="14"/>
    </row>
    <row r="660" spans="1:67" ht="20.100000000000001" customHeight="1">
      <c r="A660" s="157"/>
      <c r="B660" s="1"/>
      <c r="C660" s="157"/>
      <c r="D660" s="1"/>
      <c r="E660" s="150"/>
      <c r="F660" s="150"/>
      <c r="G660" s="151"/>
      <c r="H660" s="150"/>
      <c r="I660" s="150"/>
      <c r="J660" s="151"/>
      <c r="K660" s="151"/>
      <c r="L660" s="150"/>
      <c r="M660" s="151"/>
      <c r="N660" s="151"/>
      <c r="O660" s="151"/>
      <c r="P660" s="150"/>
      <c r="Q660" s="150"/>
      <c r="R660" s="158"/>
      <c r="S660" s="158"/>
      <c r="T660" s="158"/>
      <c r="U660" s="158"/>
      <c r="V660" s="1"/>
      <c r="W660" s="1"/>
      <c r="X660" s="157"/>
      <c r="Y660" s="157"/>
      <c r="Z660" s="157"/>
      <c r="AA660" s="157"/>
      <c r="AB660" s="157"/>
      <c r="AC660" s="151"/>
      <c r="AD660" s="151"/>
      <c r="AE660" s="151"/>
      <c r="AF660" s="157"/>
      <c r="AG660" s="157"/>
      <c r="AH660" s="157"/>
      <c r="AI660" s="157"/>
      <c r="AJ660" s="157"/>
      <c r="AK660" s="157"/>
      <c r="AL660" s="157"/>
      <c r="AM660" s="157"/>
      <c r="AN660" s="159"/>
      <c r="AO660" s="159"/>
      <c r="AP660" s="160"/>
      <c r="AQ660" s="160"/>
      <c r="AR660" s="160"/>
      <c r="AS660" s="159"/>
      <c r="AT660" s="159"/>
      <c r="AU660" s="161"/>
      <c r="AV660" s="157"/>
      <c r="AW660" s="157"/>
      <c r="AX660" s="157"/>
      <c r="AY660" s="157"/>
      <c r="AZ660" s="157"/>
      <c r="BA660" s="157"/>
      <c r="BB660" s="157"/>
      <c r="BC660" s="151"/>
      <c r="BD660" s="157"/>
      <c r="BE660" s="157"/>
      <c r="BF660" s="157"/>
      <c r="BG660" s="157"/>
      <c r="BH660" s="157"/>
      <c r="BI660" s="157"/>
      <c r="BJ660" s="353"/>
      <c r="BK660" s="353"/>
      <c r="BL660" s="353"/>
      <c r="BM660" s="14"/>
      <c r="BN660" s="14"/>
      <c r="BO660" s="14"/>
    </row>
    <row r="661" spans="1:67" ht="20.100000000000001" customHeight="1">
      <c r="A661" s="157"/>
      <c r="B661" s="1"/>
      <c r="C661" s="157"/>
      <c r="D661" s="1"/>
      <c r="E661" s="150"/>
      <c r="F661" s="150"/>
      <c r="G661" s="151"/>
      <c r="H661" s="150"/>
      <c r="I661" s="150"/>
      <c r="J661" s="151"/>
      <c r="K661" s="151"/>
      <c r="L661" s="150"/>
      <c r="M661" s="151"/>
      <c r="N661" s="151"/>
      <c r="O661" s="151"/>
      <c r="P661" s="150"/>
      <c r="Q661" s="150"/>
      <c r="R661" s="158"/>
      <c r="S661" s="158"/>
      <c r="T661" s="158"/>
      <c r="U661" s="158"/>
      <c r="V661" s="1"/>
      <c r="W661" s="1"/>
      <c r="X661" s="157"/>
      <c r="Y661" s="157"/>
      <c r="Z661" s="157"/>
      <c r="AA661" s="157"/>
      <c r="AB661" s="157"/>
      <c r="AC661" s="151"/>
      <c r="AD661" s="151"/>
      <c r="AE661" s="151"/>
      <c r="AF661" s="157"/>
      <c r="AG661" s="157"/>
      <c r="AH661" s="157"/>
      <c r="AI661" s="157"/>
      <c r="AJ661" s="157"/>
      <c r="AK661" s="157"/>
      <c r="AL661" s="157"/>
      <c r="AM661" s="157"/>
      <c r="AN661" s="159"/>
      <c r="AO661" s="159"/>
      <c r="AP661" s="160"/>
      <c r="AQ661" s="160"/>
      <c r="AR661" s="160"/>
      <c r="AS661" s="159"/>
      <c r="AT661" s="159"/>
      <c r="AU661" s="161"/>
      <c r="AV661" s="157"/>
      <c r="AW661" s="157"/>
      <c r="AX661" s="157"/>
      <c r="AY661" s="157"/>
      <c r="AZ661" s="157"/>
      <c r="BA661" s="157"/>
      <c r="BB661" s="157"/>
      <c r="BC661" s="151"/>
      <c r="BD661" s="157"/>
      <c r="BE661" s="157"/>
      <c r="BF661" s="157"/>
      <c r="BG661" s="157"/>
      <c r="BH661" s="157"/>
      <c r="BI661" s="157"/>
      <c r="BJ661" s="353"/>
      <c r="BK661" s="353"/>
      <c r="BL661" s="353"/>
      <c r="BM661" s="14"/>
      <c r="BN661" s="14"/>
      <c r="BO661" s="14"/>
    </row>
    <row r="662" spans="1:67" ht="20.100000000000001" customHeight="1">
      <c r="A662" s="157"/>
      <c r="B662" s="1"/>
      <c r="C662" s="157"/>
      <c r="D662" s="1"/>
      <c r="E662" s="150"/>
      <c r="F662" s="150"/>
      <c r="G662" s="151"/>
      <c r="H662" s="150"/>
      <c r="I662" s="150"/>
      <c r="J662" s="151"/>
      <c r="K662" s="151"/>
      <c r="L662" s="150"/>
      <c r="M662" s="151"/>
      <c r="N662" s="151"/>
      <c r="O662" s="151"/>
      <c r="P662" s="150"/>
      <c r="Q662" s="150"/>
      <c r="R662" s="158"/>
      <c r="S662" s="158"/>
      <c r="T662" s="158"/>
      <c r="U662" s="158"/>
      <c r="V662" s="1"/>
      <c r="W662" s="1"/>
      <c r="X662" s="157"/>
      <c r="Y662" s="157"/>
      <c r="Z662" s="157"/>
      <c r="AA662" s="157"/>
      <c r="AB662" s="157"/>
      <c r="AC662" s="151"/>
      <c r="AD662" s="151"/>
      <c r="AE662" s="151"/>
      <c r="AF662" s="157"/>
      <c r="AG662" s="157"/>
      <c r="AH662" s="157"/>
      <c r="AI662" s="157"/>
      <c r="AJ662" s="157"/>
      <c r="AK662" s="157"/>
      <c r="AL662" s="157"/>
      <c r="AM662" s="157"/>
      <c r="AN662" s="159"/>
      <c r="AO662" s="159"/>
      <c r="AP662" s="160"/>
      <c r="AQ662" s="160"/>
      <c r="AR662" s="160"/>
      <c r="AS662" s="159"/>
      <c r="AT662" s="159"/>
      <c r="AU662" s="161"/>
      <c r="AV662" s="157"/>
      <c r="AW662" s="157"/>
      <c r="AX662" s="157"/>
      <c r="AY662" s="157"/>
      <c r="AZ662" s="157"/>
      <c r="BA662" s="157"/>
      <c r="BB662" s="157"/>
      <c r="BC662" s="151"/>
      <c r="BD662" s="157"/>
      <c r="BE662" s="157"/>
      <c r="BF662" s="157"/>
      <c r="BG662" s="157"/>
      <c r="BH662" s="157"/>
      <c r="BI662" s="157"/>
      <c r="BJ662" s="353"/>
      <c r="BK662" s="353"/>
      <c r="BL662" s="353"/>
      <c r="BM662" s="14"/>
      <c r="BN662" s="14"/>
      <c r="BO662" s="14"/>
    </row>
    <row r="663" spans="1:67" ht="20.100000000000001" customHeight="1">
      <c r="A663" s="157"/>
      <c r="B663" s="1"/>
      <c r="C663" s="157"/>
      <c r="D663" s="1"/>
      <c r="E663" s="150"/>
      <c r="F663" s="150"/>
      <c r="G663" s="151"/>
      <c r="H663" s="150"/>
      <c r="I663" s="150"/>
      <c r="J663" s="151"/>
      <c r="K663" s="151"/>
      <c r="L663" s="150"/>
      <c r="M663" s="151"/>
      <c r="N663" s="151"/>
      <c r="O663" s="151"/>
      <c r="P663" s="150"/>
      <c r="Q663" s="150"/>
      <c r="R663" s="158"/>
      <c r="S663" s="158"/>
      <c r="T663" s="158"/>
      <c r="U663" s="158"/>
      <c r="V663" s="1"/>
      <c r="W663" s="1"/>
      <c r="X663" s="157"/>
      <c r="Y663" s="157"/>
      <c r="Z663" s="157"/>
      <c r="AA663" s="157"/>
      <c r="AB663" s="157"/>
      <c r="AC663" s="151"/>
      <c r="AD663" s="151"/>
      <c r="AE663" s="151"/>
      <c r="AF663" s="157"/>
      <c r="AG663" s="157"/>
      <c r="AH663" s="157"/>
      <c r="AI663" s="157"/>
      <c r="AJ663" s="157"/>
      <c r="AK663" s="157"/>
      <c r="AL663" s="157"/>
      <c r="AM663" s="157"/>
      <c r="AN663" s="159"/>
      <c r="AO663" s="159"/>
      <c r="AP663" s="160"/>
      <c r="AQ663" s="160"/>
      <c r="AR663" s="160"/>
      <c r="AS663" s="159"/>
      <c r="AT663" s="159"/>
      <c r="AU663" s="161"/>
      <c r="AV663" s="157"/>
      <c r="AW663" s="157"/>
      <c r="AX663" s="157"/>
      <c r="AY663" s="157"/>
      <c r="AZ663" s="157"/>
      <c r="BA663" s="157"/>
      <c r="BB663" s="157"/>
      <c r="BC663" s="151"/>
      <c r="BD663" s="157"/>
      <c r="BE663" s="157"/>
      <c r="BF663" s="157"/>
      <c r="BG663" s="157"/>
      <c r="BH663" s="157"/>
      <c r="BI663" s="157"/>
      <c r="BJ663" s="353"/>
      <c r="BK663" s="353"/>
      <c r="BL663" s="353"/>
      <c r="BM663" s="14"/>
      <c r="BN663" s="14"/>
      <c r="BO663" s="14"/>
    </row>
    <row r="664" spans="1:67" ht="20.100000000000001" customHeight="1">
      <c r="A664" s="157"/>
      <c r="B664" s="1"/>
      <c r="C664" s="157"/>
      <c r="D664" s="1"/>
      <c r="E664" s="150"/>
      <c r="F664" s="150"/>
      <c r="G664" s="151"/>
      <c r="H664" s="150"/>
      <c r="I664" s="150"/>
      <c r="J664" s="151"/>
      <c r="K664" s="151"/>
      <c r="L664" s="150"/>
      <c r="M664" s="151"/>
      <c r="N664" s="151"/>
      <c r="O664" s="151"/>
      <c r="P664" s="150"/>
      <c r="Q664" s="150"/>
      <c r="R664" s="158"/>
      <c r="S664" s="158"/>
      <c r="T664" s="158"/>
      <c r="U664" s="158"/>
      <c r="V664" s="1"/>
      <c r="W664" s="1"/>
      <c r="X664" s="157"/>
      <c r="Y664" s="157"/>
      <c r="Z664" s="157"/>
      <c r="AA664" s="157"/>
      <c r="AB664" s="157"/>
      <c r="AC664" s="151"/>
      <c r="AD664" s="151"/>
      <c r="AE664" s="151"/>
      <c r="AF664" s="157"/>
      <c r="AG664" s="157"/>
      <c r="AH664" s="157"/>
      <c r="AI664" s="157"/>
      <c r="AJ664" s="157"/>
      <c r="AK664" s="157"/>
      <c r="AL664" s="157"/>
      <c r="AM664" s="157"/>
      <c r="AN664" s="159"/>
      <c r="AO664" s="159"/>
      <c r="AP664" s="160"/>
      <c r="AQ664" s="160"/>
      <c r="AR664" s="160"/>
      <c r="AS664" s="159"/>
      <c r="AT664" s="159"/>
      <c r="AU664" s="161"/>
      <c r="AV664" s="157"/>
      <c r="AW664" s="157"/>
      <c r="AX664" s="157"/>
      <c r="AY664" s="157"/>
      <c r="AZ664" s="157"/>
      <c r="BA664" s="157"/>
      <c r="BB664" s="157"/>
      <c r="BC664" s="151"/>
      <c r="BD664" s="157"/>
      <c r="BE664" s="157"/>
      <c r="BF664" s="157"/>
      <c r="BG664" s="157"/>
      <c r="BH664" s="157"/>
      <c r="BI664" s="157"/>
      <c r="BJ664" s="353"/>
      <c r="BK664" s="353"/>
      <c r="BL664" s="353"/>
      <c r="BM664" s="14"/>
      <c r="BN664" s="14"/>
      <c r="BO664" s="14"/>
    </row>
    <row r="665" spans="1:67" ht="20.100000000000001" customHeight="1">
      <c r="A665" s="157"/>
      <c r="B665" s="1"/>
      <c r="C665" s="157"/>
      <c r="D665" s="1"/>
      <c r="E665" s="150"/>
      <c r="F665" s="150"/>
      <c r="G665" s="151"/>
      <c r="H665" s="150"/>
      <c r="I665" s="150"/>
      <c r="J665" s="151"/>
      <c r="K665" s="151"/>
      <c r="L665" s="150"/>
      <c r="M665" s="151"/>
      <c r="N665" s="151"/>
      <c r="O665" s="151"/>
      <c r="P665" s="150"/>
      <c r="Q665" s="150"/>
      <c r="R665" s="158"/>
      <c r="S665" s="158"/>
      <c r="T665" s="158"/>
      <c r="U665" s="158"/>
      <c r="V665" s="1"/>
      <c r="W665" s="1"/>
      <c r="X665" s="157"/>
      <c r="Y665" s="157"/>
      <c r="Z665" s="157"/>
      <c r="AA665" s="157"/>
      <c r="AB665" s="157"/>
      <c r="AC665" s="151"/>
      <c r="AD665" s="151"/>
      <c r="AE665" s="151"/>
      <c r="AF665" s="157"/>
      <c r="AG665" s="157"/>
      <c r="AH665" s="157"/>
      <c r="AI665" s="157"/>
      <c r="AJ665" s="157"/>
      <c r="AK665" s="157"/>
      <c r="AL665" s="157"/>
      <c r="AM665" s="157"/>
      <c r="AN665" s="159"/>
      <c r="AO665" s="159"/>
      <c r="AP665" s="160"/>
      <c r="AQ665" s="160"/>
      <c r="AR665" s="160"/>
      <c r="AS665" s="159"/>
      <c r="AT665" s="159"/>
      <c r="AU665" s="161"/>
      <c r="AV665" s="157"/>
      <c r="AW665" s="157"/>
      <c r="AX665" s="157"/>
      <c r="AY665" s="157"/>
      <c r="AZ665" s="157"/>
      <c r="BA665" s="157"/>
      <c r="BB665" s="157"/>
      <c r="BC665" s="151"/>
      <c r="BD665" s="157"/>
      <c r="BE665" s="157"/>
      <c r="BF665" s="157"/>
      <c r="BG665" s="157"/>
      <c r="BH665" s="157"/>
      <c r="BI665" s="157"/>
      <c r="BJ665" s="353"/>
      <c r="BK665" s="353"/>
      <c r="BL665" s="353"/>
      <c r="BM665" s="14"/>
      <c r="BN665" s="14"/>
      <c r="BO665" s="14"/>
    </row>
    <row r="666" spans="1:67" ht="20.100000000000001" customHeight="1">
      <c r="A666" s="157"/>
      <c r="B666" s="1"/>
      <c r="C666" s="157"/>
      <c r="D666" s="1"/>
      <c r="E666" s="150"/>
      <c r="F666" s="150"/>
      <c r="G666" s="151"/>
      <c r="H666" s="150"/>
      <c r="I666" s="150"/>
      <c r="J666" s="151"/>
      <c r="K666" s="151"/>
      <c r="L666" s="150"/>
      <c r="M666" s="151"/>
      <c r="N666" s="151"/>
      <c r="O666" s="151"/>
      <c r="P666" s="150"/>
      <c r="Q666" s="150"/>
      <c r="R666" s="158"/>
      <c r="S666" s="158"/>
      <c r="T666" s="158"/>
      <c r="U666" s="158"/>
      <c r="V666" s="1"/>
      <c r="W666" s="1"/>
      <c r="X666" s="157"/>
      <c r="Y666" s="157"/>
      <c r="Z666" s="157"/>
      <c r="AA666" s="157"/>
      <c r="AB666" s="157"/>
      <c r="AC666" s="151"/>
      <c r="AD666" s="151"/>
      <c r="AE666" s="151"/>
      <c r="AF666" s="157"/>
      <c r="AG666" s="157"/>
      <c r="AH666" s="157"/>
      <c r="AI666" s="157"/>
      <c r="AJ666" s="157"/>
      <c r="AK666" s="157"/>
      <c r="AL666" s="157"/>
      <c r="AM666" s="157"/>
      <c r="AN666" s="159"/>
      <c r="AO666" s="159"/>
      <c r="AP666" s="160"/>
      <c r="AQ666" s="160"/>
      <c r="AR666" s="160"/>
      <c r="AS666" s="159"/>
      <c r="AT666" s="159"/>
      <c r="AU666" s="161"/>
      <c r="AV666" s="157"/>
      <c r="AW666" s="157"/>
      <c r="AX666" s="157"/>
      <c r="AY666" s="157"/>
      <c r="AZ666" s="157"/>
      <c r="BA666" s="157"/>
      <c r="BB666" s="157"/>
      <c r="BC666" s="151"/>
      <c r="BD666" s="157"/>
      <c r="BE666" s="157"/>
      <c r="BF666" s="157"/>
      <c r="BG666" s="157"/>
      <c r="BH666" s="157"/>
      <c r="BI666" s="157"/>
      <c r="BJ666" s="353"/>
      <c r="BK666" s="353"/>
      <c r="BL666" s="353"/>
      <c r="BM666" s="14"/>
      <c r="BN666" s="14"/>
      <c r="BO666" s="14"/>
    </row>
    <row r="667" spans="1:67" ht="20.100000000000001" customHeight="1">
      <c r="A667" s="157"/>
      <c r="B667" s="1"/>
      <c r="C667" s="157"/>
      <c r="D667" s="1"/>
      <c r="E667" s="150"/>
      <c r="F667" s="150"/>
      <c r="G667" s="151"/>
      <c r="H667" s="150"/>
      <c r="I667" s="150"/>
      <c r="J667" s="151"/>
      <c r="K667" s="151"/>
      <c r="L667" s="150"/>
      <c r="M667" s="151"/>
      <c r="N667" s="151"/>
      <c r="O667" s="151"/>
      <c r="P667" s="150"/>
      <c r="Q667" s="150"/>
      <c r="R667" s="158"/>
      <c r="S667" s="158"/>
      <c r="T667" s="158"/>
      <c r="U667" s="158"/>
      <c r="V667" s="1"/>
      <c r="W667" s="1"/>
      <c r="X667" s="157"/>
      <c r="Y667" s="157"/>
      <c r="Z667" s="157"/>
      <c r="AA667" s="157"/>
      <c r="AB667" s="157"/>
      <c r="AC667" s="151"/>
      <c r="AD667" s="151"/>
      <c r="AE667" s="151"/>
      <c r="AF667" s="157"/>
      <c r="AG667" s="157"/>
      <c r="AH667" s="157"/>
      <c r="AI667" s="157"/>
      <c r="AJ667" s="157"/>
      <c r="AK667" s="157"/>
      <c r="AL667" s="157"/>
      <c r="AM667" s="157"/>
      <c r="AN667" s="159"/>
      <c r="AO667" s="159"/>
      <c r="AP667" s="160"/>
      <c r="AQ667" s="160"/>
      <c r="AR667" s="160"/>
      <c r="AS667" s="159"/>
      <c r="AT667" s="159"/>
      <c r="AU667" s="161"/>
      <c r="AV667" s="157"/>
      <c r="AW667" s="157"/>
      <c r="AX667" s="157"/>
      <c r="AY667" s="157"/>
      <c r="AZ667" s="157"/>
      <c r="BA667" s="157"/>
      <c r="BB667" s="157"/>
      <c r="BC667" s="151"/>
      <c r="BD667" s="157"/>
      <c r="BE667" s="157"/>
      <c r="BF667" s="157"/>
      <c r="BG667" s="157"/>
      <c r="BH667" s="157"/>
      <c r="BI667" s="157"/>
      <c r="BJ667" s="353"/>
      <c r="BK667" s="353"/>
      <c r="BL667" s="353"/>
      <c r="BM667" s="14"/>
      <c r="BN667" s="14"/>
      <c r="BO667" s="14"/>
    </row>
    <row r="668" spans="1:67" ht="20.100000000000001" customHeight="1">
      <c r="A668" s="157"/>
      <c r="B668" s="1"/>
      <c r="C668" s="157"/>
      <c r="D668" s="1"/>
      <c r="E668" s="150"/>
      <c r="F668" s="150"/>
      <c r="G668" s="151"/>
      <c r="H668" s="150"/>
      <c r="I668" s="150"/>
      <c r="J668" s="151"/>
      <c r="K668" s="151"/>
      <c r="L668" s="150"/>
      <c r="M668" s="151"/>
      <c r="N668" s="151"/>
      <c r="O668" s="151"/>
      <c r="P668" s="150"/>
      <c r="Q668" s="150"/>
      <c r="R668" s="158"/>
      <c r="S668" s="158"/>
      <c r="T668" s="158"/>
      <c r="U668" s="158"/>
      <c r="V668" s="1"/>
      <c r="W668" s="1"/>
      <c r="X668" s="157"/>
      <c r="Y668" s="157"/>
      <c r="Z668" s="157"/>
      <c r="AA668" s="157"/>
      <c r="AB668" s="157"/>
      <c r="AC668" s="151"/>
      <c r="AD668" s="151"/>
      <c r="AE668" s="151"/>
      <c r="AF668" s="157"/>
      <c r="AG668" s="157"/>
      <c r="AH668" s="157"/>
      <c r="AI668" s="157"/>
      <c r="AJ668" s="157"/>
      <c r="AK668" s="157"/>
      <c r="AL668" s="157"/>
      <c r="AM668" s="157"/>
      <c r="AN668" s="159"/>
      <c r="AO668" s="159"/>
      <c r="AP668" s="160"/>
      <c r="AQ668" s="160"/>
      <c r="AR668" s="160"/>
      <c r="AS668" s="159"/>
      <c r="AT668" s="159"/>
      <c r="AU668" s="161"/>
      <c r="AV668" s="157"/>
      <c r="AW668" s="157"/>
      <c r="AX668" s="157"/>
      <c r="AY668" s="157"/>
      <c r="AZ668" s="157"/>
      <c r="BA668" s="157"/>
      <c r="BB668" s="157"/>
      <c r="BC668" s="151"/>
      <c r="BD668" s="157"/>
      <c r="BE668" s="157"/>
      <c r="BF668" s="157"/>
      <c r="BG668" s="157"/>
      <c r="BH668" s="157"/>
      <c r="BI668" s="157"/>
      <c r="BJ668" s="353"/>
      <c r="BK668" s="353"/>
      <c r="BL668" s="353"/>
      <c r="BM668" s="14"/>
      <c r="BN668" s="14"/>
      <c r="BO668" s="14"/>
    </row>
    <row r="669" spans="1:67" ht="20.100000000000001" customHeight="1">
      <c r="A669" s="157"/>
      <c r="B669" s="1"/>
      <c r="C669" s="157"/>
      <c r="D669" s="1"/>
      <c r="E669" s="150"/>
      <c r="F669" s="150"/>
      <c r="G669" s="151"/>
      <c r="H669" s="150"/>
      <c r="I669" s="150"/>
      <c r="J669" s="151"/>
      <c r="K669" s="151"/>
      <c r="L669" s="150"/>
      <c r="M669" s="151"/>
      <c r="N669" s="151"/>
      <c r="O669" s="151"/>
      <c r="P669" s="150"/>
      <c r="Q669" s="150"/>
      <c r="R669" s="158"/>
      <c r="S669" s="158"/>
      <c r="T669" s="158"/>
      <c r="U669" s="158"/>
      <c r="V669" s="1"/>
      <c r="W669" s="1"/>
      <c r="X669" s="157"/>
      <c r="Y669" s="157"/>
      <c r="Z669" s="157"/>
      <c r="AA669" s="157"/>
      <c r="AB669" s="157"/>
      <c r="AC669" s="151"/>
      <c r="AD669" s="151"/>
      <c r="AE669" s="151"/>
      <c r="AF669" s="157"/>
      <c r="AG669" s="157"/>
      <c r="AH669" s="157"/>
      <c r="AI669" s="157"/>
      <c r="AJ669" s="157"/>
      <c r="AK669" s="157"/>
      <c r="AL669" s="157"/>
      <c r="AM669" s="157"/>
      <c r="AN669" s="159"/>
      <c r="AO669" s="159"/>
      <c r="AP669" s="160"/>
      <c r="AQ669" s="160"/>
      <c r="AR669" s="160"/>
      <c r="AS669" s="159"/>
      <c r="AT669" s="159"/>
      <c r="AU669" s="161"/>
      <c r="AV669" s="157"/>
      <c r="AW669" s="157"/>
      <c r="AX669" s="157"/>
      <c r="AY669" s="157"/>
      <c r="AZ669" s="157"/>
      <c r="BA669" s="157"/>
      <c r="BB669" s="157"/>
      <c r="BC669" s="151"/>
      <c r="BD669" s="157"/>
      <c r="BE669" s="157"/>
      <c r="BF669" s="157"/>
      <c r="BG669" s="157"/>
      <c r="BH669" s="157"/>
      <c r="BI669" s="157"/>
      <c r="BJ669" s="353"/>
      <c r="BK669" s="353"/>
      <c r="BL669" s="353"/>
      <c r="BM669" s="14"/>
      <c r="BN669" s="14"/>
      <c r="BO669" s="14"/>
    </row>
    <row r="670" spans="1:67" ht="20.100000000000001" customHeight="1">
      <c r="A670" s="157"/>
      <c r="B670" s="1"/>
      <c r="C670" s="157"/>
      <c r="D670" s="1"/>
      <c r="E670" s="150"/>
      <c r="F670" s="150"/>
      <c r="G670" s="151"/>
      <c r="H670" s="150"/>
      <c r="I670" s="150"/>
      <c r="J670" s="151"/>
      <c r="K670" s="151"/>
      <c r="L670" s="150"/>
      <c r="M670" s="151"/>
      <c r="N670" s="151"/>
      <c r="O670" s="151"/>
      <c r="P670" s="150"/>
      <c r="Q670" s="150"/>
      <c r="R670" s="158"/>
      <c r="S670" s="158"/>
      <c r="T670" s="158"/>
      <c r="U670" s="158"/>
      <c r="V670" s="1"/>
      <c r="W670" s="1"/>
      <c r="X670" s="157"/>
      <c r="Y670" s="157"/>
      <c r="Z670" s="157"/>
      <c r="AA670" s="157"/>
      <c r="AB670" s="157"/>
      <c r="AC670" s="151"/>
      <c r="AD670" s="151"/>
      <c r="AE670" s="151"/>
      <c r="AF670" s="157"/>
      <c r="AG670" s="157"/>
      <c r="AH670" s="157"/>
      <c r="AI670" s="157"/>
      <c r="AJ670" s="157"/>
      <c r="AK670" s="157"/>
      <c r="AL670" s="157"/>
      <c r="AM670" s="157"/>
      <c r="AN670" s="159"/>
      <c r="AO670" s="159"/>
      <c r="AP670" s="160"/>
      <c r="AQ670" s="160"/>
      <c r="AR670" s="160"/>
      <c r="AS670" s="159"/>
      <c r="AT670" s="159"/>
      <c r="AU670" s="161"/>
      <c r="AV670" s="157"/>
      <c r="AW670" s="157"/>
      <c r="AX670" s="157"/>
      <c r="AY670" s="157"/>
      <c r="AZ670" s="157"/>
      <c r="BA670" s="157"/>
      <c r="BB670" s="157"/>
      <c r="BC670" s="151"/>
      <c r="BD670" s="157"/>
      <c r="BE670" s="157"/>
      <c r="BF670" s="157"/>
      <c r="BG670" s="157"/>
      <c r="BH670" s="157"/>
      <c r="BI670" s="157"/>
      <c r="BJ670" s="353"/>
      <c r="BK670" s="353"/>
      <c r="BL670" s="353"/>
      <c r="BM670" s="14"/>
      <c r="BN670" s="14"/>
      <c r="BO670" s="14"/>
    </row>
    <row r="671" spans="1:67" ht="20.100000000000001" customHeight="1">
      <c r="A671" s="157"/>
      <c r="B671" s="1"/>
      <c r="C671" s="157"/>
      <c r="D671" s="1"/>
      <c r="E671" s="150"/>
      <c r="F671" s="150"/>
      <c r="G671" s="151"/>
      <c r="H671" s="150"/>
      <c r="I671" s="150"/>
      <c r="J671" s="151"/>
      <c r="K671" s="151"/>
      <c r="L671" s="150"/>
      <c r="M671" s="151"/>
      <c r="N671" s="151"/>
      <c r="O671" s="151"/>
      <c r="P671" s="150"/>
      <c r="Q671" s="150"/>
      <c r="R671" s="158"/>
      <c r="S671" s="158"/>
      <c r="T671" s="158"/>
      <c r="U671" s="158"/>
      <c r="V671" s="1"/>
      <c r="W671" s="1"/>
      <c r="X671" s="157"/>
      <c r="Y671" s="157"/>
      <c r="Z671" s="157"/>
      <c r="AA671" s="157"/>
      <c r="AB671" s="157"/>
      <c r="AC671" s="151"/>
      <c r="AD671" s="151"/>
      <c r="AE671" s="151"/>
      <c r="AF671" s="157"/>
      <c r="AG671" s="157"/>
      <c r="AH671" s="157"/>
      <c r="AI671" s="157"/>
      <c r="AJ671" s="157"/>
      <c r="AK671" s="157"/>
      <c r="AL671" s="157"/>
      <c r="AM671" s="157"/>
      <c r="AN671" s="159"/>
      <c r="AO671" s="159"/>
      <c r="AP671" s="160"/>
      <c r="AQ671" s="160"/>
      <c r="AR671" s="160"/>
      <c r="AS671" s="159"/>
      <c r="AT671" s="159"/>
      <c r="AU671" s="161"/>
      <c r="AV671" s="157"/>
      <c r="AW671" s="157"/>
      <c r="AX671" s="157"/>
      <c r="AY671" s="157"/>
      <c r="AZ671" s="157"/>
      <c r="BA671" s="157"/>
      <c r="BB671" s="157"/>
      <c r="BC671" s="151"/>
      <c r="BD671" s="157"/>
      <c r="BE671" s="157"/>
      <c r="BF671" s="157"/>
      <c r="BG671" s="157"/>
      <c r="BH671" s="157"/>
      <c r="BI671" s="157"/>
      <c r="BJ671" s="353"/>
      <c r="BK671" s="353"/>
      <c r="BL671" s="353"/>
      <c r="BM671" s="14"/>
      <c r="BN671" s="14"/>
      <c r="BO671" s="14"/>
    </row>
    <row r="672" spans="1:67" ht="20.100000000000001" customHeight="1">
      <c r="A672" s="157"/>
      <c r="B672" s="1"/>
      <c r="C672" s="157"/>
      <c r="D672" s="1"/>
      <c r="E672" s="150"/>
      <c r="F672" s="150"/>
      <c r="G672" s="151"/>
      <c r="H672" s="150"/>
      <c r="I672" s="150"/>
      <c r="J672" s="151"/>
      <c r="K672" s="151"/>
      <c r="L672" s="150"/>
      <c r="M672" s="151"/>
      <c r="N672" s="151"/>
      <c r="O672" s="151"/>
      <c r="P672" s="150"/>
      <c r="Q672" s="150"/>
      <c r="R672" s="158"/>
      <c r="S672" s="158"/>
      <c r="T672" s="158"/>
      <c r="U672" s="158"/>
      <c r="V672" s="1"/>
      <c r="W672" s="1"/>
      <c r="X672" s="157"/>
      <c r="Y672" s="157"/>
      <c r="Z672" s="157"/>
      <c r="AA672" s="157"/>
      <c r="AB672" s="157"/>
      <c r="AC672" s="151"/>
      <c r="AD672" s="151"/>
      <c r="AE672" s="151"/>
      <c r="AF672" s="157"/>
      <c r="AG672" s="157"/>
      <c r="AH672" s="157"/>
      <c r="AI672" s="157"/>
      <c r="AJ672" s="157"/>
      <c r="AK672" s="157"/>
      <c r="AL672" s="157"/>
      <c r="AM672" s="157"/>
      <c r="AN672" s="159"/>
      <c r="AO672" s="159"/>
      <c r="AP672" s="160"/>
      <c r="AQ672" s="160"/>
      <c r="AR672" s="160"/>
      <c r="AS672" s="159"/>
      <c r="AT672" s="159"/>
      <c r="AU672" s="161"/>
      <c r="AV672" s="157"/>
      <c r="AW672" s="157"/>
      <c r="AX672" s="157"/>
      <c r="AY672" s="157"/>
      <c r="AZ672" s="157"/>
      <c r="BA672" s="157"/>
      <c r="BB672" s="157"/>
      <c r="BC672" s="151"/>
      <c r="BD672" s="157"/>
      <c r="BE672" s="157"/>
      <c r="BF672" s="157"/>
      <c r="BG672" s="157"/>
      <c r="BH672" s="157"/>
      <c r="BI672" s="157"/>
      <c r="BJ672" s="353"/>
      <c r="BK672" s="353"/>
      <c r="BL672" s="353"/>
      <c r="BM672" s="14"/>
      <c r="BN672" s="14"/>
      <c r="BO672" s="14"/>
    </row>
    <row r="673" spans="1:67" ht="20.100000000000001" customHeight="1">
      <c r="A673" s="157"/>
      <c r="B673" s="1"/>
      <c r="C673" s="157"/>
      <c r="D673" s="1"/>
      <c r="E673" s="150"/>
      <c r="F673" s="150"/>
      <c r="G673" s="151"/>
      <c r="H673" s="150"/>
      <c r="I673" s="150"/>
      <c r="J673" s="151"/>
      <c r="K673" s="151"/>
      <c r="L673" s="150"/>
      <c r="M673" s="151"/>
      <c r="N673" s="151"/>
      <c r="O673" s="151"/>
      <c r="P673" s="150"/>
      <c r="Q673" s="150"/>
      <c r="R673" s="158"/>
      <c r="S673" s="158"/>
      <c r="T673" s="158"/>
      <c r="U673" s="158"/>
      <c r="V673" s="1"/>
      <c r="W673" s="1"/>
      <c r="X673" s="157"/>
      <c r="Y673" s="157"/>
      <c r="Z673" s="157"/>
      <c r="AA673" s="157"/>
      <c r="AB673" s="157"/>
      <c r="AC673" s="151"/>
      <c r="AD673" s="151"/>
      <c r="AE673" s="151"/>
      <c r="AF673" s="157"/>
      <c r="AG673" s="157"/>
      <c r="AH673" s="157"/>
      <c r="AI673" s="157"/>
      <c r="AJ673" s="157"/>
      <c r="AK673" s="157"/>
      <c r="AL673" s="157"/>
      <c r="AM673" s="157"/>
      <c r="AN673" s="159"/>
      <c r="AO673" s="159"/>
      <c r="AP673" s="160"/>
      <c r="AQ673" s="160"/>
      <c r="AR673" s="160"/>
      <c r="AS673" s="159"/>
      <c r="AT673" s="159"/>
      <c r="AU673" s="161"/>
      <c r="AV673" s="157"/>
      <c r="AW673" s="157"/>
      <c r="AX673" s="157"/>
      <c r="AY673" s="157"/>
      <c r="AZ673" s="157"/>
      <c r="BA673" s="157"/>
      <c r="BB673" s="157"/>
      <c r="BC673" s="151"/>
      <c r="BD673" s="157"/>
      <c r="BE673" s="157"/>
      <c r="BF673" s="157"/>
      <c r="BG673" s="157"/>
      <c r="BH673" s="157"/>
      <c r="BI673" s="157"/>
      <c r="BJ673" s="353"/>
      <c r="BK673" s="353"/>
      <c r="BL673" s="353"/>
      <c r="BM673" s="14"/>
      <c r="BN673" s="14"/>
      <c r="BO673" s="14"/>
    </row>
    <row r="674" spans="1:67" ht="20.100000000000001" customHeight="1">
      <c r="A674" s="157"/>
      <c r="B674" s="1"/>
      <c r="C674" s="157"/>
      <c r="D674" s="1"/>
      <c r="E674" s="150"/>
      <c r="F674" s="150"/>
      <c r="G674" s="151"/>
      <c r="H674" s="150"/>
      <c r="I674" s="150"/>
      <c r="J674" s="151"/>
      <c r="K674" s="151"/>
      <c r="L674" s="150"/>
      <c r="M674" s="151"/>
      <c r="N674" s="151"/>
      <c r="O674" s="151"/>
      <c r="P674" s="150"/>
      <c r="Q674" s="150"/>
      <c r="R674" s="158"/>
      <c r="S674" s="158"/>
      <c r="T674" s="158"/>
      <c r="U674" s="158"/>
      <c r="V674" s="1"/>
      <c r="W674" s="1"/>
      <c r="X674" s="157"/>
      <c r="Y674" s="157"/>
      <c r="Z674" s="157"/>
      <c r="AA674" s="157"/>
      <c r="AB674" s="157"/>
      <c r="AC674" s="151"/>
      <c r="AD674" s="151"/>
      <c r="AE674" s="151"/>
      <c r="AF674" s="157"/>
      <c r="AG674" s="157"/>
      <c r="AH674" s="157"/>
      <c r="AI674" s="157"/>
      <c r="AJ674" s="157"/>
      <c r="AK674" s="157"/>
      <c r="AL674" s="157"/>
      <c r="AM674" s="157"/>
      <c r="AN674" s="159"/>
      <c r="AO674" s="159"/>
      <c r="AP674" s="160"/>
      <c r="AQ674" s="160"/>
      <c r="AR674" s="160"/>
      <c r="AS674" s="159"/>
      <c r="AT674" s="159"/>
      <c r="AU674" s="161"/>
      <c r="AV674" s="157"/>
      <c r="AW674" s="157"/>
      <c r="AX674" s="157"/>
      <c r="AY674" s="157"/>
      <c r="AZ674" s="157"/>
      <c r="BA674" s="157"/>
      <c r="BB674" s="157"/>
      <c r="BC674" s="151"/>
      <c r="BD674" s="157"/>
      <c r="BE674" s="157"/>
      <c r="BF674" s="157"/>
      <c r="BG674" s="157"/>
      <c r="BH674" s="157"/>
      <c r="BI674" s="157"/>
      <c r="BJ674" s="353"/>
      <c r="BK674" s="353"/>
      <c r="BL674" s="353"/>
      <c r="BM674" s="14"/>
      <c r="BN674" s="14"/>
      <c r="BO674" s="14"/>
    </row>
    <row r="675" spans="1:67" ht="20.100000000000001" customHeight="1">
      <c r="A675" s="157"/>
      <c r="B675" s="1"/>
      <c r="C675" s="157"/>
      <c r="D675" s="1"/>
      <c r="E675" s="150"/>
      <c r="F675" s="150"/>
      <c r="G675" s="151"/>
      <c r="H675" s="150"/>
      <c r="I675" s="150"/>
      <c r="J675" s="151"/>
      <c r="K675" s="151"/>
      <c r="L675" s="150"/>
      <c r="M675" s="151"/>
      <c r="N675" s="151"/>
      <c r="O675" s="151"/>
      <c r="P675" s="150"/>
      <c r="Q675" s="150"/>
      <c r="R675" s="158"/>
      <c r="S675" s="158"/>
      <c r="T675" s="158"/>
      <c r="U675" s="158"/>
      <c r="V675" s="1"/>
      <c r="W675" s="1"/>
      <c r="X675" s="157"/>
      <c r="Y675" s="157"/>
      <c r="Z675" s="157"/>
      <c r="AA675" s="157"/>
      <c r="AB675" s="157"/>
      <c r="AC675" s="151"/>
      <c r="AD675" s="151"/>
      <c r="AE675" s="151"/>
      <c r="AF675" s="157"/>
      <c r="AG675" s="157"/>
      <c r="AH675" s="157"/>
      <c r="AI675" s="157"/>
      <c r="AJ675" s="157"/>
      <c r="AK675" s="157"/>
      <c r="AL675" s="157"/>
      <c r="AM675" s="157"/>
      <c r="AN675" s="159"/>
      <c r="AO675" s="159"/>
      <c r="AP675" s="160"/>
      <c r="AQ675" s="160"/>
      <c r="AR675" s="160"/>
      <c r="AS675" s="159"/>
      <c r="AT675" s="159"/>
      <c r="AU675" s="161"/>
      <c r="AV675" s="157"/>
      <c r="AW675" s="157"/>
      <c r="AX675" s="157"/>
      <c r="AY675" s="157"/>
      <c r="AZ675" s="157"/>
      <c r="BA675" s="157"/>
      <c r="BB675" s="157"/>
      <c r="BC675" s="151"/>
      <c r="BD675" s="157"/>
      <c r="BE675" s="157"/>
      <c r="BF675" s="157"/>
      <c r="BG675" s="157"/>
      <c r="BH675" s="157"/>
      <c r="BI675" s="157"/>
      <c r="BJ675" s="353"/>
      <c r="BK675" s="353"/>
      <c r="BL675" s="353"/>
      <c r="BM675" s="14"/>
      <c r="BN675" s="14"/>
      <c r="BO675" s="14"/>
    </row>
    <row r="676" spans="1:67" ht="20.100000000000001" customHeight="1">
      <c r="A676" s="157"/>
      <c r="B676" s="1"/>
      <c r="C676" s="157"/>
      <c r="D676" s="1"/>
      <c r="E676" s="150"/>
      <c r="F676" s="150"/>
      <c r="G676" s="151"/>
      <c r="H676" s="150"/>
      <c r="I676" s="150"/>
      <c r="J676" s="151"/>
      <c r="K676" s="151"/>
      <c r="L676" s="150"/>
      <c r="M676" s="151"/>
      <c r="N676" s="151"/>
      <c r="O676" s="151"/>
      <c r="P676" s="150"/>
      <c r="Q676" s="150"/>
      <c r="R676" s="158"/>
      <c r="S676" s="158"/>
      <c r="T676" s="158"/>
      <c r="U676" s="158"/>
      <c r="V676" s="1"/>
      <c r="W676" s="1"/>
      <c r="X676" s="157"/>
      <c r="Y676" s="157"/>
      <c r="Z676" s="157"/>
      <c r="AA676" s="157"/>
      <c r="AB676" s="157"/>
      <c r="AC676" s="151"/>
      <c r="AD676" s="151"/>
      <c r="AE676" s="151"/>
      <c r="AF676" s="157"/>
      <c r="AG676" s="157"/>
      <c r="AH676" s="157"/>
      <c r="AI676" s="157"/>
      <c r="AJ676" s="157"/>
      <c r="AK676" s="157"/>
      <c r="AL676" s="157"/>
      <c r="AM676" s="157"/>
      <c r="AN676" s="159"/>
      <c r="AO676" s="159"/>
      <c r="AP676" s="160"/>
      <c r="AQ676" s="160"/>
      <c r="AR676" s="160"/>
      <c r="AS676" s="159"/>
      <c r="AT676" s="159"/>
      <c r="AU676" s="161"/>
      <c r="AV676" s="157"/>
      <c r="AW676" s="157"/>
      <c r="AX676" s="157"/>
      <c r="AY676" s="157"/>
      <c r="AZ676" s="157"/>
      <c r="BA676" s="157"/>
      <c r="BB676" s="157"/>
      <c r="BC676" s="151"/>
      <c r="BD676" s="157"/>
      <c r="BE676" s="157"/>
      <c r="BF676" s="157"/>
      <c r="BG676" s="157"/>
      <c r="BH676" s="157"/>
      <c r="BI676" s="157"/>
      <c r="BJ676" s="353"/>
      <c r="BK676" s="353"/>
      <c r="BL676" s="353"/>
      <c r="BM676" s="14"/>
      <c r="BN676" s="14"/>
      <c r="BO676" s="14"/>
    </row>
    <row r="677" spans="1:67" ht="20.100000000000001" customHeight="1">
      <c r="A677" s="157"/>
      <c r="B677" s="1"/>
      <c r="C677" s="157"/>
      <c r="D677" s="1"/>
      <c r="E677" s="150"/>
      <c r="F677" s="150"/>
      <c r="G677" s="151"/>
      <c r="H677" s="150"/>
      <c r="I677" s="150"/>
      <c r="J677" s="151"/>
      <c r="K677" s="151"/>
      <c r="L677" s="150"/>
      <c r="M677" s="151"/>
      <c r="N677" s="151"/>
      <c r="O677" s="151"/>
      <c r="P677" s="150"/>
      <c r="Q677" s="150"/>
      <c r="R677" s="158"/>
      <c r="S677" s="158"/>
      <c r="T677" s="158"/>
      <c r="U677" s="158"/>
      <c r="V677" s="1"/>
      <c r="W677" s="1"/>
      <c r="X677" s="157"/>
      <c r="Y677" s="157"/>
      <c r="Z677" s="157"/>
      <c r="AA677" s="157"/>
      <c r="AB677" s="157"/>
      <c r="AC677" s="151"/>
      <c r="AD677" s="151"/>
      <c r="AE677" s="151"/>
      <c r="AF677" s="157"/>
      <c r="AG677" s="157"/>
      <c r="AH677" s="157"/>
      <c r="AI677" s="157"/>
      <c r="AJ677" s="157"/>
      <c r="AK677" s="157"/>
      <c r="AL677" s="157"/>
      <c r="AM677" s="157"/>
      <c r="AN677" s="159"/>
      <c r="AO677" s="159"/>
      <c r="AP677" s="160"/>
      <c r="AQ677" s="160"/>
      <c r="AR677" s="160"/>
      <c r="AS677" s="159"/>
      <c r="AT677" s="159"/>
      <c r="AU677" s="161"/>
      <c r="AV677" s="157"/>
      <c r="AW677" s="157"/>
      <c r="AX677" s="157"/>
      <c r="AY677" s="157"/>
      <c r="AZ677" s="157"/>
      <c r="BA677" s="157"/>
      <c r="BB677" s="157"/>
      <c r="BC677" s="151"/>
      <c r="BD677" s="157"/>
      <c r="BE677" s="157"/>
      <c r="BF677" s="157"/>
      <c r="BG677" s="157"/>
      <c r="BH677" s="157"/>
      <c r="BI677" s="157"/>
      <c r="BJ677" s="353"/>
      <c r="BK677" s="353"/>
      <c r="BL677" s="353"/>
      <c r="BM677" s="14"/>
      <c r="BN677" s="14"/>
      <c r="BO677" s="14"/>
    </row>
    <row r="678" spans="1:67" ht="20.100000000000001" customHeight="1">
      <c r="A678" s="157"/>
      <c r="B678" s="1"/>
      <c r="C678" s="157"/>
      <c r="D678" s="1"/>
      <c r="E678" s="150"/>
      <c r="F678" s="150"/>
      <c r="G678" s="151"/>
      <c r="H678" s="150"/>
      <c r="I678" s="150"/>
      <c r="J678" s="151"/>
      <c r="K678" s="151"/>
      <c r="L678" s="150"/>
      <c r="M678" s="151"/>
      <c r="N678" s="151"/>
      <c r="O678" s="151"/>
      <c r="P678" s="150"/>
      <c r="Q678" s="150"/>
      <c r="R678" s="158"/>
      <c r="S678" s="158"/>
      <c r="T678" s="158"/>
      <c r="U678" s="158"/>
      <c r="V678" s="1"/>
      <c r="W678" s="1"/>
      <c r="X678" s="157"/>
      <c r="Y678" s="157"/>
      <c r="Z678" s="157"/>
      <c r="AA678" s="157"/>
      <c r="AB678" s="157"/>
      <c r="AC678" s="151"/>
      <c r="AD678" s="151"/>
      <c r="AE678" s="151"/>
      <c r="AF678" s="157"/>
      <c r="AG678" s="157"/>
      <c r="AH678" s="157"/>
      <c r="AI678" s="157"/>
      <c r="AJ678" s="157"/>
      <c r="AK678" s="157"/>
      <c r="AL678" s="157"/>
      <c r="AM678" s="157"/>
      <c r="AN678" s="159"/>
      <c r="AO678" s="159"/>
      <c r="AP678" s="160"/>
      <c r="AQ678" s="160"/>
      <c r="AR678" s="160"/>
      <c r="AS678" s="159"/>
      <c r="AT678" s="159"/>
      <c r="AU678" s="161"/>
      <c r="AV678" s="157"/>
      <c r="AW678" s="157"/>
      <c r="AX678" s="157"/>
      <c r="AY678" s="157"/>
      <c r="AZ678" s="157"/>
      <c r="BA678" s="157"/>
      <c r="BB678" s="157"/>
      <c r="BC678" s="151"/>
      <c r="BD678" s="157"/>
      <c r="BE678" s="157"/>
      <c r="BF678" s="157"/>
      <c r="BG678" s="157"/>
      <c r="BH678" s="157"/>
      <c r="BI678" s="157"/>
      <c r="BJ678" s="353"/>
      <c r="BK678" s="353"/>
      <c r="BL678" s="353"/>
      <c r="BM678" s="14"/>
      <c r="BN678" s="14"/>
      <c r="BO678" s="14"/>
    </row>
    <row r="679" spans="1:67" ht="20.100000000000001" customHeight="1">
      <c r="A679" s="157"/>
      <c r="B679" s="1"/>
      <c r="C679" s="157"/>
      <c r="D679" s="1"/>
      <c r="E679" s="150"/>
      <c r="F679" s="150"/>
      <c r="G679" s="151"/>
      <c r="H679" s="150"/>
      <c r="I679" s="150"/>
      <c r="J679" s="151"/>
      <c r="K679" s="151"/>
      <c r="L679" s="150"/>
      <c r="M679" s="151"/>
      <c r="N679" s="151"/>
      <c r="O679" s="151"/>
      <c r="P679" s="150"/>
      <c r="Q679" s="150"/>
      <c r="R679" s="158"/>
      <c r="S679" s="158"/>
      <c r="T679" s="158"/>
      <c r="U679" s="158"/>
      <c r="V679" s="1"/>
      <c r="W679" s="1"/>
      <c r="X679" s="157"/>
      <c r="Y679" s="157"/>
      <c r="Z679" s="157"/>
      <c r="AA679" s="157"/>
      <c r="AB679" s="157"/>
      <c r="AC679" s="151"/>
      <c r="AD679" s="151"/>
      <c r="AE679" s="151"/>
      <c r="AF679" s="157"/>
      <c r="AG679" s="157"/>
      <c r="AH679" s="157"/>
      <c r="AI679" s="157"/>
      <c r="AJ679" s="157"/>
      <c r="AK679" s="157"/>
      <c r="AL679" s="157"/>
      <c r="AM679" s="157"/>
      <c r="AN679" s="159"/>
      <c r="AO679" s="159"/>
      <c r="AP679" s="160"/>
      <c r="AQ679" s="160"/>
      <c r="AR679" s="160"/>
      <c r="AS679" s="159"/>
      <c r="AT679" s="159"/>
      <c r="AU679" s="161"/>
      <c r="AV679" s="157"/>
      <c r="AW679" s="157"/>
      <c r="AX679" s="157"/>
      <c r="AY679" s="157"/>
      <c r="AZ679" s="157"/>
      <c r="BA679" s="157"/>
      <c r="BB679" s="157"/>
      <c r="BC679" s="151"/>
      <c r="BD679" s="157"/>
      <c r="BE679" s="157"/>
      <c r="BF679" s="157"/>
      <c r="BG679" s="157"/>
      <c r="BH679" s="157"/>
      <c r="BI679" s="157"/>
      <c r="BJ679" s="353"/>
      <c r="BK679" s="353"/>
      <c r="BL679" s="353"/>
      <c r="BM679" s="14"/>
      <c r="BN679" s="14"/>
      <c r="BO679" s="14"/>
    </row>
    <row r="680" spans="1:67" ht="20.100000000000001" customHeight="1">
      <c r="A680" s="157"/>
      <c r="B680" s="1"/>
      <c r="C680" s="157"/>
      <c r="D680" s="1"/>
      <c r="E680" s="150"/>
      <c r="F680" s="150"/>
      <c r="G680" s="151"/>
      <c r="H680" s="150"/>
      <c r="I680" s="150"/>
      <c r="J680" s="151"/>
      <c r="K680" s="151"/>
      <c r="L680" s="150"/>
      <c r="M680" s="151"/>
      <c r="N680" s="151"/>
      <c r="O680" s="151"/>
      <c r="P680" s="150"/>
      <c r="Q680" s="150"/>
      <c r="R680" s="158"/>
      <c r="S680" s="158"/>
      <c r="T680" s="158"/>
      <c r="U680" s="158"/>
      <c r="V680" s="1"/>
      <c r="W680" s="1"/>
      <c r="X680" s="157"/>
      <c r="Y680" s="157"/>
      <c r="Z680" s="157"/>
      <c r="AA680" s="157"/>
      <c r="AB680" s="157"/>
      <c r="AC680" s="151"/>
      <c r="AD680" s="151"/>
      <c r="AE680" s="151"/>
      <c r="AF680" s="157"/>
      <c r="AG680" s="157"/>
      <c r="AH680" s="157"/>
      <c r="AI680" s="157"/>
      <c r="AJ680" s="157"/>
      <c r="AK680" s="157"/>
      <c r="AL680" s="157"/>
      <c r="AM680" s="157"/>
      <c r="AN680" s="159"/>
      <c r="AO680" s="159"/>
      <c r="AP680" s="160"/>
      <c r="AQ680" s="160"/>
      <c r="AR680" s="160"/>
      <c r="AS680" s="159"/>
      <c r="AT680" s="159"/>
      <c r="AU680" s="161"/>
      <c r="AV680" s="157"/>
      <c r="AW680" s="157"/>
      <c r="AX680" s="157"/>
      <c r="AY680" s="157"/>
      <c r="AZ680" s="157"/>
      <c r="BA680" s="157"/>
      <c r="BB680" s="157"/>
      <c r="BC680" s="151"/>
      <c r="BD680" s="157"/>
      <c r="BE680" s="157"/>
      <c r="BF680" s="157"/>
      <c r="BG680" s="157"/>
      <c r="BH680" s="157"/>
      <c r="BI680" s="157"/>
      <c r="BJ680" s="353"/>
      <c r="BK680" s="353"/>
      <c r="BL680" s="353"/>
      <c r="BM680" s="14"/>
      <c r="BN680" s="14"/>
      <c r="BO680" s="14"/>
    </row>
    <row r="681" spans="1:67" ht="20.100000000000001" customHeight="1">
      <c r="A681" s="157"/>
      <c r="B681" s="1"/>
      <c r="C681" s="157"/>
      <c r="D681" s="1"/>
      <c r="E681" s="150"/>
      <c r="F681" s="150"/>
      <c r="G681" s="151"/>
      <c r="H681" s="150"/>
      <c r="I681" s="150"/>
      <c r="J681" s="151"/>
      <c r="K681" s="151"/>
      <c r="L681" s="150"/>
      <c r="M681" s="151"/>
      <c r="N681" s="151"/>
      <c r="O681" s="151"/>
      <c r="P681" s="150"/>
      <c r="Q681" s="150"/>
      <c r="R681" s="158"/>
      <c r="S681" s="158"/>
      <c r="T681" s="158"/>
      <c r="U681" s="158"/>
      <c r="V681" s="1"/>
      <c r="W681" s="1"/>
      <c r="X681" s="157"/>
      <c r="Y681" s="157"/>
      <c r="Z681" s="157"/>
      <c r="AA681" s="157"/>
      <c r="AB681" s="157"/>
      <c r="AC681" s="151"/>
      <c r="AD681" s="151"/>
      <c r="AE681" s="151"/>
      <c r="AF681" s="157"/>
      <c r="AG681" s="157"/>
      <c r="AH681" s="157"/>
      <c r="AI681" s="157"/>
      <c r="AJ681" s="157"/>
      <c r="AK681" s="157"/>
      <c r="AL681" s="157"/>
      <c r="AM681" s="157"/>
      <c r="AN681" s="159"/>
      <c r="AO681" s="159"/>
      <c r="AP681" s="160"/>
      <c r="AQ681" s="160"/>
      <c r="AR681" s="160"/>
      <c r="AS681" s="159"/>
      <c r="AT681" s="159"/>
      <c r="AU681" s="161"/>
      <c r="AV681" s="157"/>
      <c r="AW681" s="157"/>
      <c r="AX681" s="157"/>
      <c r="AY681" s="157"/>
      <c r="AZ681" s="157"/>
      <c r="BA681" s="157"/>
      <c r="BB681" s="157"/>
      <c r="BC681" s="151"/>
      <c r="BD681" s="157"/>
      <c r="BE681" s="157"/>
      <c r="BF681" s="157"/>
      <c r="BG681" s="157"/>
      <c r="BH681" s="157"/>
      <c r="BI681" s="157"/>
      <c r="BJ681" s="353"/>
      <c r="BK681" s="353"/>
      <c r="BL681" s="353"/>
      <c r="BM681" s="14"/>
      <c r="BN681" s="14"/>
      <c r="BO681" s="14"/>
    </row>
    <row r="682" spans="1:67" ht="20.100000000000001" customHeight="1">
      <c r="A682" s="157"/>
      <c r="B682" s="1"/>
      <c r="C682" s="157"/>
      <c r="D682" s="1"/>
      <c r="E682" s="150"/>
      <c r="F682" s="150"/>
      <c r="G682" s="151"/>
      <c r="H682" s="150"/>
      <c r="I682" s="150"/>
      <c r="J682" s="151"/>
      <c r="K682" s="151"/>
      <c r="L682" s="150"/>
      <c r="M682" s="151"/>
      <c r="N682" s="151"/>
      <c r="O682" s="151"/>
      <c r="P682" s="150"/>
      <c r="Q682" s="150"/>
      <c r="R682" s="158"/>
      <c r="S682" s="158"/>
      <c r="T682" s="158"/>
      <c r="U682" s="158"/>
      <c r="V682" s="1"/>
      <c r="W682" s="1"/>
      <c r="X682" s="157"/>
      <c r="Y682" s="157"/>
      <c r="Z682" s="157"/>
      <c r="AA682" s="157"/>
      <c r="AB682" s="157"/>
      <c r="AC682" s="151"/>
      <c r="AD682" s="151"/>
      <c r="AE682" s="151"/>
      <c r="AF682" s="157"/>
      <c r="AG682" s="157"/>
      <c r="AH682" s="157"/>
      <c r="AI682" s="157"/>
      <c r="AJ682" s="157"/>
      <c r="AK682" s="157"/>
      <c r="AL682" s="157"/>
      <c r="AM682" s="157"/>
      <c r="AN682" s="159"/>
      <c r="AO682" s="159"/>
      <c r="AP682" s="160"/>
      <c r="AQ682" s="160"/>
      <c r="AR682" s="160"/>
      <c r="AS682" s="159"/>
      <c r="AT682" s="159"/>
      <c r="AU682" s="161"/>
      <c r="AV682" s="157"/>
      <c r="AW682" s="157"/>
      <c r="AX682" s="157"/>
      <c r="AY682" s="157"/>
      <c r="AZ682" s="157"/>
      <c r="BA682" s="157"/>
      <c r="BB682" s="157"/>
      <c r="BC682" s="151"/>
      <c r="BD682" s="157"/>
      <c r="BE682" s="157"/>
      <c r="BF682" s="157"/>
      <c r="BG682" s="157"/>
      <c r="BH682" s="157"/>
      <c r="BI682" s="157"/>
      <c r="BJ682" s="353"/>
      <c r="BK682" s="353"/>
      <c r="BL682" s="353"/>
      <c r="BM682" s="14"/>
      <c r="BN682" s="14"/>
      <c r="BO682" s="14"/>
    </row>
    <row r="683" spans="1:67" ht="20.100000000000001" customHeight="1">
      <c r="A683" s="157"/>
      <c r="B683" s="1"/>
      <c r="C683" s="157"/>
      <c r="D683" s="1"/>
      <c r="E683" s="150"/>
      <c r="F683" s="150"/>
      <c r="G683" s="151"/>
      <c r="H683" s="150"/>
      <c r="I683" s="150"/>
      <c r="J683" s="151"/>
      <c r="K683" s="151"/>
      <c r="L683" s="150"/>
      <c r="M683" s="151"/>
      <c r="N683" s="151"/>
      <c r="O683" s="151"/>
      <c r="P683" s="150"/>
      <c r="Q683" s="150"/>
      <c r="R683" s="158"/>
      <c r="S683" s="158"/>
      <c r="T683" s="158"/>
      <c r="U683" s="158"/>
      <c r="V683" s="1"/>
      <c r="W683" s="1"/>
      <c r="X683" s="157"/>
      <c r="Y683" s="157"/>
      <c r="Z683" s="157"/>
      <c r="AA683" s="157"/>
      <c r="AB683" s="157"/>
      <c r="AC683" s="151"/>
      <c r="AD683" s="151"/>
      <c r="AE683" s="151"/>
      <c r="AF683" s="157"/>
      <c r="AG683" s="157"/>
      <c r="AH683" s="157"/>
      <c r="AI683" s="157"/>
      <c r="AJ683" s="157"/>
      <c r="AK683" s="157"/>
      <c r="AL683" s="157"/>
      <c r="AM683" s="157"/>
      <c r="AN683" s="159"/>
      <c r="AO683" s="159"/>
      <c r="AP683" s="160"/>
      <c r="AQ683" s="160"/>
      <c r="AR683" s="160"/>
      <c r="AS683" s="159"/>
      <c r="AT683" s="159"/>
      <c r="AU683" s="161"/>
      <c r="AV683" s="157"/>
      <c r="AW683" s="157"/>
      <c r="AX683" s="157"/>
      <c r="AY683" s="157"/>
      <c r="AZ683" s="157"/>
      <c r="BA683" s="157"/>
      <c r="BB683" s="157"/>
      <c r="BC683" s="151"/>
      <c r="BD683" s="157"/>
      <c r="BE683" s="157"/>
      <c r="BF683" s="157"/>
      <c r="BG683" s="157"/>
      <c r="BH683" s="157"/>
      <c r="BI683" s="157"/>
      <c r="BJ683" s="353"/>
      <c r="BK683" s="353"/>
      <c r="BL683" s="353"/>
      <c r="BM683" s="14"/>
      <c r="BN683" s="14"/>
      <c r="BO683" s="14"/>
    </row>
    <row r="684" spans="1:67" ht="20.100000000000001" customHeight="1">
      <c r="A684" s="157"/>
      <c r="B684" s="1"/>
      <c r="C684" s="157"/>
      <c r="D684" s="1"/>
      <c r="E684" s="150"/>
      <c r="F684" s="150"/>
      <c r="G684" s="151"/>
      <c r="H684" s="150"/>
      <c r="I684" s="150"/>
      <c r="J684" s="151"/>
      <c r="K684" s="151"/>
      <c r="L684" s="150"/>
      <c r="M684" s="151"/>
      <c r="N684" s="151"/>
      <c r="O684" s="151"/>
      <c r="P684" s="150"/>
      <c r="Q684" s="150"/>
      <c r="R684" s="158"/>
      <c r="S684" s="158"/>
      <c r="T684" s="158"/>
      <c r="U684" s="158"/>
      <c r="V684" s="1"/>
      <c r="W684" s="1"/>
      <c r="X684" s="157"/>
      <c r="Y684" s="157"/>
      <c r="Z684" s="157"/>
      <c r="AA684" s="157"/>
      <c r="AB684" s="157"/>
      <c r="AC684" s="151"/>
      <c r="AD684" s="151"/>
      <c r="AE684" s="151"/>
      <c r="AF684" s="157"/>
      <c r="AG684" s="157"/>
      <c r="AH684" s="157"/>
      <c r="AI684" s="157"/>
      <c r="AJ684" s="157"/>
      <c r="AK684" s="157"/>
      <c r="AL684" s="157"/>
      <c r="AM684" s="157"/>
      <c r="AN684" s="159"/>
      <c r="AO684" s="159"/>
      <c r="AP684" s="160"/>
      <c r="AQ684" s="160"/>
      <c r="AR684" s="160"/>
      <c r="AS684" s="159"/>
      <c r="AT684" s="159"/>
      <c r="AU684" s="161"/>
      <c r="AV684" s="157"/>
      <c r="AW684" s="157"/>
      <c r="AX684" s="157"/>
      <c r="AY684" s="157"/>
      <c r="AZ684" s="157"/>
      <c r="BA684" s="157"/>
      <c r="BB684" s="157"/>
      <c r="BC684" s="151"/>
      <c r="BD684" s="157"/>
      <c r="BE684" s="157"/>
      <c r="BF684" s="157"/>
      <c r="BG684" s="157"/>
      <c r="BH684" s="157"/>
      <c r="BI684" s="157"/>
      <c r="BJ684" s="353"/>
      <c r="BK684" s="353"/>
      <c r="BL684" s="353"/>
      <c r="BM684" s="14"/>
      <c r="BN684" s="14"/>
      <c r="BO684" s="14"/>
    </row>
    <row r="685" spans="1:67" ht="20.100000000000001" customHeight="1">
      <c r="A685" s="157"/>
      <c r="B685" s="1"/>
      <c r="C685" s="157"/>
      <c r="D685" s="1"/>
      <c r="E685" s="150"/>
      <c r="F685" s="150"/>
      <c r="G685" s="151"/>
      <c r="H685" s="150"/>
      <c r="I685" s="150"/>
      <c r="J685" s="151"/>
      <c r="K685" s="151"/>
      <c r="L685" s="150"/>
      <c r="M685" s="151"/>
      <c r="N685" s="151"/>
      <c r="O685" s="151"/>
      <c r="P685" s="150"/>
      <c r="Q685" s="150"/>
      <c r="R685" s="158"/>
      <c r="S685" s="158"/>
      <c r="T685" s="158"/>
      <c r="U685" s="158"/>
      <c r="V685" s="1"/>
      <c r="W685" s="1"/>
      <c r="X685" s="157"/>
      <c r="Y685" s="157"/>
      <c r="Z685" s="157"/>
      <c r="AA685" s="157"/>
      <c r="AB685" s="157"/>
      <c r="AC685" s="151"/>
      <c r="AD685" s="151"/>
      <c r="AE685" s="151"/>
      <c r="AF685" s="157"/>
      <c r="AG685" s="157"/>
      <c r="AH685" s="157"/>
      <c r="AI685" s="157"/>
      <c r="AJ685" s="157"/>
      <c r="AK685" s="157"/>
      <c r="AL685" s="157"/>
      <c r="AM685" s="157"/>
      <c r="AN685" s="159"/>
      <c r="AO685" s="159"/>
      <c r="AP685" s="160"/>
      <c r="AQ685" s="160"/>
      <c r="AR685" s="160"/>
      <c r="AS685" s="159"/>
      <c r="AT685" s="159"/>
      <c r="AU685" s="161"/>
      <c r="AV685" s="157"/>
      <c r="AW685" s="157"/>
      <c r="AX685" s="157"/>
      <c r="AY685" s="157"/>
      <c r="AZ685" s="157"/>
      <c r="BA685" s="157"/>
      <c r="BB685" s="157"/>
      <c r="BC685" s="151"/>
      <c r="BD685" s="157"/>
      <c r="BE685" s="157"/>
      <c r="BF685" s="157"/>
      <c r="BG685" s="157"/>
      <c r="BH685" s="157"/>
      <c r="BI685" s="157"/>
      <c r="BJ685" s="353"/>
      <c r="BK685" s="353"/>
      <c r="BL685" s="353"/>
      <c r="BM685" s="14"/>
      <c r="BN685" s="14"/>
      <c r="BO685" s="14"/>
    </row>
    <row r="686" spans="1:67" ht="20.100000000000001" customHeight="1">
      <c r="A686" s="157"/>
      <c r="B686" s="1"/>
      <c r="C686" s="157"/>
      <c r="D686" s="1"/>
      <c r="E686" s="150"/>
      <c r="F686" s="150"/>
      <c r="G686" s="151"/>
      <c r="H686" s="150"/>
      <c r="I686" s="150"/>
      <c r="J686" s="151"/>
      <c r="K686" s="151"/>
      <c r="L686" s="150"/>
      <c r="M686" s="151"/>
      <c r="N686" s="151"/>
      <c r="O686" s="151"/>
      <c r="P686" s="150"/>
      <c r="Q686" s="150"/>
      <c r="R686" s="158"/>
      <c r="S686" s="158"/>
      <c r="T686" s="158"/>
      <c r="U686" s="158"/>
      <c r="V686" s="1"/>
      <c r="W686" s="1"/>
      <c r="X686" s="157"/>
      <c r="Y686" s="157"/>
      <c r="Z686" s="157"/>
      <c r="AA686" s="157"/>
      <c r="AB686" s="157"/>
      <c r="AC686" s="151"/>
      <c r="AD686" s="151"/>
      <c r="AE686" s="151"/>
      <c r="AF686" s="157"/>
      <c r="AG686" s="157"/>
      <c r="AH686" s="157"/>
      <c r="AI686" s="157"/>
      <c r="AJ686" s="157"/>
      <c r="AK686" s="157"/>
      <c r="AL686" s="157"/>
      <c r="AM686" s="157"/>
      <c r="AN686" s="159"/>
      <c r="AO686" s="159"/>
      <c r="AP686" s="160"/>
      <c r="AQ686" s="160"/>
      <c r="AR686" s="160"/>
      <c r="AS686" s="159"/>
      <c r="AT686" s="159"/>
      <c r="AU686" s="161"/>
      <c r="AV686" s="157"/>
      <c r="AW686" s="157"/>
      <c r="AX686" s="157"/>
      <c r="AY686" s="157"/>
      <c r="AZ686" s="157"/>
      <c r="BA686" s="157"/>
      <c r="BB686" s="157"/>
      <c r="BC686" s="151"/>
      <c r="BD686" s="157"/>
      <c r="BE686" s="157"/>
      <c r="BF686" s="157"/>
      <c r="BG686" s="157"/>
      <c r="BH686" s="157"/>
      <c r="BI686" s="157"/>
      <c r="BJ686" s="353"/>
      <c r="BK686" s="353"/>
      <c r="BL686" s="353"/>
      <c r="BM686" s="14"/>
      <c r="BN686" s="14"/>
      <c r="BO686" s="14"/>
    </row>
    <row r="687" spans="1:67" ht="20.100000000000001" customHeight="1">
      <c r="A687" s="157"/>
      <c r="B687" s="1"/>
      <c r="C687" s="157"/>
      <c r="D687" s="1"/>
      <c r="E687" s="150"/>
      <c r="F687" s="150"/>
      <c r="G687" s="151"/>
      <c r="H687" s="150"/>
      <c r="I687" s="150"/>
      <c r="J687" s="151"/>
      <c r="K687" s="151"/>
      <c r="L687" s="150"/>
      <c r="M687" s="151"/>
      <c r="N687" s="151"/>
      <c r="O687" s="151"/>
      <c r="P687" s="150"/>
      <c r="Q687" s="150"/>
      <c r="R687" s="158"/>
      <c r="S687" s="158"/>
      <c r="T687" s="158"/>
      <c r="U687" s="158"/>
      <c r="V687" s="1"/>
      <c r="W687" s="1"/>
      <c r="X687" s="157"/>
      <c r="Y687" s="157"/>
      <c r="Z687" s="157"/>
      <c r="AA687" s="157"/>
      <c r="AB687" s="157"/>
      <c r="AC687" s="151"/>
      <c r="AD687" s="151"/>
      <c r="AE687" s="151"/>
      <c r="AF687" s="157"/>
      <c r="AG687" s="157"/>
      <c r="AH687" s="157"/>
      <c r="AI687" s="157"/>
      <c r="AJ687" s="157"/>
      <c r="AK687" s="157"/>
      <c r="AL687" s="157"/>
      <c r="AM687" s="157"/>
      <c r="AN687" s="159"/>
      <c r="AO687" s="159"/>
      <c r="AP687" s="160"/>
      <c r="AQ687" s="160"/>
      <c r="AR687" s="160"/>
      <c r="AS687" s="159"/>
      <c r="AT687" s="159"/>
      <c r="AU687" s="161"/>
      <c r="AV687" s="157"/>
      <c r="AW687" s="157"/>
      <c r="AX687" s="157"/>
      <c r="AY687" s="157"/>
      <c r="AZ687" s="157"/>
      <c r="BA687" s="157"/>
      <c r="BB687" s="157"/>
      <c r="BC687" s="151"/>
      <c r="BD687" s="157"/>
      <c r="BE687" s="157"/>
      <c r="BF687" s="157"/>
      <c r="BG687" s="157"/>
      <c r="BH687" s="157"/>
      <c r="BI687" s="157"/>
      <c r="BJ687" s="353"/>
      <c r="BK687" s="353"/>
      <c r="BL687" s="353"/>
      <c r="BM687" s="14"/>
      <c r="BN687" s="14"/>
      <c r="BO687" s="14"/>
    </row>
    <row r="688" spans="1:67" ht="20.100000000000001" customHeight="1">
      <c r="A688" s="157"/>
      <c r="B688" s="1"/>
      <c r="C688" s="157"/>
      <c r="D688" s="1"/>
      <c r="E688" s="150"/>
      <c r="F688" s="150"/>
      <c r="G688" s="151"/>
      <c r="H688" s="150"/>
      <c r="I688" s="150"/>
      <c r="J688" s="151"/>
      <c r="K688" s="151"/>
      <c r="L688" s="150"/>
      <c r="M688" s="151"/>
      <c r="N688" s="151"/>
      <c r="O688" s="151"/>
      <c r="P688" s="150"/>
      <c r="Q688" s="150"/>
      <c r="R688" s="158"/>
      <c r="S688" s="158"/>
      <c r="T688" s="158"/>
      <c r="U688" s="158"/>
      <c r="V688" s="1"/>
      <c r="W688" s="1"/>
      <c r="X688" s="157"/>
      <c r="Y688" s="157"/>
      <c r="Z688" s="157"/>
      <c r="AA688" s="157"/>
      <c r="AB688" s="157"/>
      <c r="AC688" s="151"/>
      <c r="AD688" s="151"/>
      <c r="AE688" s="151"/>
      <c r="AF688" s="157"/>
      <c r="AG688" s="157"/>
      <c r="AH688" s="157"/>
      <c r="AI688" s="157"/>
      <c r="AJ688" s="157"/>
      <c r="AK688" s="157"/>
      <c r="AL688" s="157"/>
      <c r="AM688" s="157"/>
      <c r="AN688" s="159"/>
      <c r="AO688" s="159"/>
      <c r="AP688" s="160"/>
      <c r="AQ688" s="160"/>
      <c r="AR688" s="160"/>
      <c r="AS688" s="159"/>
      <c r="AT688" s="159"/>
      <c r="AU688" s="161"/>
      <c r="AV688" s="157"/>
      <c r="AW688" s="157"/>
      <c r="AX688" s="157"/>
      <c r="AY688" s="157"/>
      <c r="AZ688" s="157"/>
      <c r="BA688" s="157"/>
      <c r="BB688" s="157"/>
      <c r="BC688" s="151"/>
      <c r="BD688" s="157"/>
      <c r="BE688" s="157"/>
      <c r="BF688" s="157"/>
      <c r="BG688" s="157"/>
      <c r="BH688" s="157"/>
      <c r="BI688" s="157"/>
      <c r="BJ688" s="353"/>
      <c r="BK688" s="353"/>
      <c r="BL688" s="353"/>
      <c r="BM688" s="14"/>
      <c r="BN688" s="14"/>
      <c r="BO688" s="14"/>
    </row>
    <row r="689" spans="1:67" ht="20.100000000000001" customHeight="1">
      <c r="A689" s="157"/>
      <c r="B689" s="1"/>
      <c r="C689" s="157"/>
      <c r="D689" s="1"/>
      <c r="E689" s="150"/>
      <c r="F689" s="150"/>
      <c r="G689" s="151"/>
      <c r="H689" s="150"/>
      <c r="I689" s="150"/>
      <c r="J689" s="151"/>
      <c r="K689" s="151"/>
      <c r="L689" s="150"/>
      <c r="M689" s="151"/>
      <c r="N689" s="151"/>
      <c r="O689" s="151"/>
      <c r="P689" s="150"/>
      <c r="Q689" s="150"/>
      <c r="R689" s="158"/>
      <c r="S689" s="158"/>
      <c r="T689" s="158"/>
      <c r="U689" s="158"/>
      <c r="V689" s="1"/>
      <c r="W689" s="1"/>
      <c r="X689" s="157"/>
      <c r="Y689" s="157"/>
      <c r="Z689" s="157"/>
      <c r="AA689" s="157"/>
      <c r="AB689" s="157"/>
      <c r="AC689" s="151"/>
      <c r="AD689" s="151"/>
      <c r="AE689" s="151"/>
      <c r="AF689" s="157"/>
      <c r="AG689" s="157"/>
      <c r="AH689" s="157"/>
      <c r="AI689" s="157"/>
      <c r="AJ689" s="157"/>
      <c r="AK689" s="157"/>
      <c r="AL689" s="157"/>
      <c r="AM689" s="157"/>
      <c r="AN689" s="159"/>
      <c r="AO689" s="159"/>
      <c r="AP689" s="160"/>
      <c r="AQ689" s="160"/>
      <c r="AR689" s="160"/>
      <c r="AS689" s="159"/>
      <c r="AT689" s="159"/>
      <c r="AU689" s="161"/>
      <c r="AV689" s="157"/>
      <c r="AW689" s="157"/>
      <c r="AX689" s="157"/>
      <c r="AY689" s="157"/>
      <c r="AZ689" s="157"/>
      <c r="BA689" s="157"/>
      <c r="BB689" s="157"/>
      <c r="BC689" s="151"/>
      <c r="BD689" s="157"/>
      <c r="BE689" s="157"/>
      <c r="BF689" s="157"/>
      <c r="BG689" s="157"/>
      <c r="BH689" s="157"/>
      <c r="BI689" s="157"/>
      <c r="BJ689" s="353"/>
      <c r="BK689" s="353"/>
      <c r="BL689" s="353"/>
      <c r="BM689" s="14"/>
      <c r="BN689" s="14"/>
      <c r="BO689" s="14"/>
    </row>
    <row r="690" spans="1:67" ht="20.100000000000001" customHeight="1">
      <c r="A690" s="157"/>
      <c r="B690" s="1"/>
      <c r="C690" s="157"/>
      <c r="D690" s="1"/>
      <c r="E690" s="150"/>
      <c r="F690" s="150"/>
      <c r="G690" s="151"/>
      <c r="H690" s="150"/>
      <c r="I690" s="150"/>
      <c r="J690" s="151"/>
      <c r="K690" s="151"/>
      <c r="L690" s="150"/>
      <c r="M690" s="151"/>
      <c r="N690" s="151"/>
      <c r="O690" s="151"/>
      <c r="P690" s="150"/>
      <c r="Q690" s="150"/>
      <c r="R690" s="158"/>
      <c r="S690" s="158"/>
      <c r="T690" s="158"/>
      <c r="U690" s="158"/>
      <c r="V690" s="1"/>
      <c r="W690" s="1"/>
      <c r="X690" s="157"/>
      <c r="Y690" s="157"/>
      <c r="Z690" s="157"/>
      <c r="AA690" s="157"/>
      <c r="AB690" s="157"/>
      <c r="AC690" s="151"/>
      <c r="AD690" s="151"/>
      <c r="AE690" s="151"/>
      <c r="AF690" s="157"/>
      <c r="AG690" s="157"/>
      <c r="AH690" s="157"/>
      <c r="AI690" s="157"/>
      <c r="AJ690" s="157"/>
      <c r="AK690" s="157"/>
      <c r="AL690" s="157"/>
      <c r="AM690" s="157"/>
      <c r="AN690" s="159"/>
      <c r="AO690" s="159"/>
      <c r="AP690" s="160"/>
      <c r="AQ690" s="160"/>
      <c r="AR690" s="160"/>
      <c r="AS690" s="159"/>
      <c r="AT690" s="159"/>
      <c r="AU690" s="161"/>
      <c r="AV690" s="157"/>
      <c r="AW690" s="157"/>
      <c r="AX690" s="157"/>
      <c r="AY690" s="157"/>
      <c r="AZ690" s="157"/>
      <c r="BA690" s="157"/>
      <c r="BB690" s="157"/>
      <c r="BC690" s="151"/>
      <c r="BD690" s="157"/>
      <c r="BE690" s="157"/>
      <c r="BF690" s="157"/>
      <c r="BG690" s="157"/>
      <c r="BH690" s="157"/>
      <c r="BI690" s="157"/>
      <c r="BJ690" s="353"/>
      <c r="BK690" s="353"/>
      <c r="BL690" s="353"/>
      <c r="BM690" s="14"/>
      <c r="BN690" s="14"/>
      <c r="BO690" s="14"/>
    </row>
    <row r="691" spans="1:67" ht="20.100000000000001" customHeight="1">
      <c r="A691" s="157"/>
      <c r="B691" s="1"/>
      <c r="C691" s="157"/>
      <c r="D691" s="1"/>
      <c r="E691" s="150"/>
      <c r="F691" s="150"/>
      <c r="G691" s="151"/>
      <c r="H691" s="150"/>
      <c r="I691" s="150"/>
      <c r="J691" s="151"/>
      <c r="K691" s="151"/>
      <c r="L691" s="150"/>
      <c r="M691" s="151"/>
      <c r="N691" s="151"/>
      <c r="O691" s="151"/>
      <c r="P691" s="150"/>
      <c r="Q691" s="150"/>
      <c r="R691" s="158"/>
      <c r="S691" s="158"/>
      <c r="T691" s="158"/>
      <c r="U691" s="158"/>
      <c r="V691" s="1"/>
      <c r="W691" s="1"/>
      <c r="X691" s="157"/>
      <c r="Y691" s="157"/>
      <c r="Z691" s="157"/>
      <c r="AA691" s="157"/>
      <c r="AB691" s="157"/>
      <c r="AC691" s="151"/>
      <c r="AD691" s="151"/>
      <c r="AE691" s="151"/>
      <c r="AF691" s="157"/>
      <c r="AG691" s="157"/>
      <c r="AH691" s="157"/>
      <c r="AI691" s="157"/>
      <c r="AJ691" s="157"/>
      <c r="AK691" s="157"/>
      <c r="AL691" s="157"/>
      <c r="AM691" s="157"/>
      <c r="AN691" s="159"/>
      <c r="AO691" s="159"/>
      <c r="AP691" s="160"/>
      <c r="AQ691" s="160"/>
      <c r="AR691" s="160"/>
      <c r="AS691" s="159"/>
      <c r="AT691" s="159"/>
      <c r="AU691" s="161"/>
      <c r="AV691" s="157"/>
      <c r="AW691" s="157"/>
      <c r="AX691" s="157"/>
      <c r="AY691" s="157"/>
      <c r="AZ691" s="157"/>
      <c r="BA691" s="157"/>
      <c r="BB691" s="157"/>
      <c r="BC691" s="151"/>
      <c r="BD691" s="157"/>
      <c r="BE691" s="157"/>
      <c r="BF691" s="157"/>
      <c r="BG691" s="157"/>
      <c r="BH691" s="157"/>
      <c r="BI691" s="157"/>
      <c r="BJ691" s="353"/>
      <c r="BK691" s="353"/>
      <c r="BL691" s="353"/>
      <c r="BM691" s="14"/>
      <c r="BN691" s="14"/>
      <c r="BO691" s="14"/>
    </row>
    <row r="692" spans="1:67" ht="20.100000000000001" customHeight="1">
      <c r="A692" s="157"/>
      <c r="B692" s="1"/>
      <c r="C692" s="157"/>
      <c r="D692" s="1"/>
      <c r="E692" s="150"/>
      <c r="F692" s="150"/>
      <c r="G692" s="151"/>
      <c r="H692" s="150"/>
      <c r="I692" s="150"/>
      <c r="J692" s="151"/>
      <c r="K692" s="151"/>
      <c r="L692" s="150"/>
      <c r="M692" s="151"/>
      <c r="N692" s="151"/>
      <c r="O692" s="151"/>
      <c r="P692" s="150"/>
      <c r="Q692" s="150"/>
      <c r="R692" s="158"/>
      <c r="S692" s="158"/>
      <c r="T692" s="158"/>
      <c r="U692" s="158"/>
      <c r="V692" s="1"/>
      <c r="W692" s="1"/>
      <c r="X692" s="157"/>
      <c r="Y692" s="157"/>
      <c r="Z692" s="157"/>
      <c r="AA692" s="157"/>
      <c r="AB692" s="157"/>
      <c r="AC692" s="151"/>
      <c r="AD692" s="151"/>
      <c r="AE692" s="151"/>
      <c r="AF692" s="157"/>
      <c r="AG692" s="157"/>
      <c r="AH692" s="157"/>
      <c r="AI692" s="157"/>
      <c r="AJ692" s="157"/>
      <c r="AK692" s="157"/>
      <c r="AL692" s="157"/>
      <c r="AM692" s="157"/>
      <c r="AN692" s="159"/>
      <c r="AO692" s="159"/>
      <c r="AP692" s="160"/>
      <c r="AQ692" s="160"/>
      <c r="AR692" s="160"/>
      <c r="AS692" s="159"/>
      <c r="AT692" s="159"/>
      <c r="AU692" s="161"/>
      <c r="AV692" s="157"/>
      <c r="AW692" s="157"/>
      <c r="AX692" s="157"/>
      <c r="AY692" s="157"/>
      <c r="AZ692" s="157"/>
      <c r="BA692" s="157"/>
      <c r="BB692" s="157"/>
      <c r="BC692" s="151"/>
      <c r="BD692" s="157"/>
      <c r="BE692" s="157"/>
      <c r="BF692" s="157"/>
      <c r="BG692" s="157"/>
      <c r="BH692" s="157"/>
      <c r="BI692" s="157"/>
      <c r="BJ692" s="353"/>
      <c r="BK692" s="353"/>
      <c r="BL692" s="353"/>
      <c r="BM692" s="14"/>
      <c r="BN692" s="14"/>
      <c r="BO692" s="14"/>
    </row>
    <row r="693" spans="1:67" ht="20.100000000000001" customHeight="1">
      <c r="A693" s="157"/>
      <c r="B693" s="1"/>
      <c r="C693" s="157"/>
      <c r="D693" s="1"/>
      <c r="E693" s="150"/>
      <c r="F693" s="150"/>
      <c r="G693" s="151"/>
      <c r="H693" s="150"/>
      <c r="I693" s="150"/>
      <c r="J693" s="151"/>
      <c r="K693" s="151"/>
      <c r="L693" s="150"/>
      <c r="M693" s="151"/>
      <c r="N693" s="151"/>
      <c r="O693" s="151"/>
      <c r="P693" s="150"/>
      <c r="Q693" s="150"/>
      <c r="R693" s="158"/>
      <c r="S693" s="158"/>
      <c r="T693" s="158"/>
      <c r="U693" s="158"/>
      <c r="V693" s="1"/>
      <c r="W693" s="1"/>
      <c r="X693" s="157"/>
      <c r="Y693" s="157"/>
      <c r="Z693" s="157"/>
      <c r="AA693" s="157"/>
      <c r="AB693" s="157"/>
      <c r="AC693" s="151"/>
      <c r="AD693" s="151"/>
      <c r="AE693" s="151"/>
      <c r="AF693" s="157"/>
      <c r="AG693" s="157"/>
      <c r="AH693" s="157"/>
      <c r="AI693" s="157"/>
      <c r="AJ693" s="157"/>
      <c r="AK693" s="157"/>
      <c r="AL693" s="157"/>
      <c r="AM693" s="157"/>
      <c r="AN693" s="159"/>
      <c r="AO693" s="159"/>
      <c r="AP693" s="160"/>
      <c r="AQ693" s="160"/>
      <c r="AR693" s="160"/>
      <c r="AS693" s="159"/>
      <c r="AT693" s="159"/>
      <c r="AU693" s="161"/>
      <c r="AV693" s="157"/>
      <c r="AW693" s="157"/>
      <c r="AX693" s="157"/>
      <c r="AY693" s="157"/>
      <c r="AZ693" s="157"/>
      <c r="BA693" s="157"/>
      <c r="BB693" s="157"/>
      <c r="BC693" s="151"/>
      <c r="BD693" s="157"/>
      <c r="BE693" s="157"/>
      <c r="BF693" s="157"/>
      <c r="BG693" s="157"/>
      <c r="BH693" s="157"/>
      <c r="BI693" s="157"/>
      <c r="BJ693" s="353"/>
      <c r="BK693" s="353"/>
      <c r="BL693" s="353"/>
      <c r="BM693" s="14"/>
      <c r="BN693" s="14"/>
      <c r="BO693" s="14"/>
    </row>
    <row r="694" spans="1:67" ht="20.100000000000001" customHeight="1">
      <c r="A694" s="157"/>
      <c r="B694" s="1"/>
      <c r="C694" s="157"/>
      <c r="D694" s="1"/>
      <c r="E694" s="150"/>
      <c r="F694" s="150"/>
      <c r="G694" s="151"/>
      <c r="H694" s="150"/>
      <c r="I694" s="150"/>
      <c r="J694" s="151"/>
      <c r="K694" s="151"/>
      <c r="L694" s="150"/>
      <c r="M694" s="151"/>
      <c r="N694" s="151"/>
      <c r="O694" s="151"/>
      <c r="P694" s="150"/>
      <c r="Q694" s="150"/>
      <c r="R694" s="158"/>
      <c r="S694" s="158"/>
      <c r="T694" s="158"/>
      <c r="U694" s="158"/>
      <c r="V694" s="1"/>
      <c r="W694" s="1"/>
      <c r="X694" s="157"/>
      <c r="Y694" s="157"/>
      <c r="Z694" s="157"/>
      <c r="AA694" s="157"/>
      <c r="AB694" s="157"/>
      <c r="AC694" s="151"/>
      <c r="AD694" s="151"/>
      <c r="AE694" s="151"/>
      <c r="AF694" s="157"/>
      <c r="AG694" s="157"/>
      <c r="AH694" s="157"/>
      <c r="AI694" s="157"/>
      <c r="AJ694" s="157"/>
      <c r="AK694" s="157"/>
      <c r="AL694" s="157"/>
      <c r="AM694" s="157"/>
      <c r="AN694" s="159"/>
      <c r="AO694" s="159"/>
      <c r="AP694" s="160"/>
      <c r="AQ694" s="160"/>
      <c r="AR694" s="160"/>
      <c r="AS694" s="159"/>
      <c r="AT694" s="159"/>
      <c r="AU694" s="161"/>
      <c r="AV694" s="157"/>
      <c r="AW694" s="157"/>
      <c r="AX694" s="157"/>
      <c r="AY694" s="157"/>
      <c r="AZ694" s="157"/>
      <c r="BA694" s="157"/>
      <c r="BB694" s="157"/>
      <c r="BC694" s="151"/>
      <c r="BD694" s="157"/>
      <c r="BE694" s="157"/>
      <c r="BF694" s="157"/>
      <c r="BG694" s="157"/>
      <c r="BH694" s="157"/>
      <c r="BI694" s="157"/>
      <c r="BJ694" s="353"/>
      <c r="BK694" s="353"/>
      <c r="BL694" s="353"/>
      <c r="BM694" s="14"/>
      <c r="BN694" s="14"/>
      <c r="BO694" s="14"/>
    </row>
    <row r="695" spans="1:67" ht="20.100000000000001" customHeight="1">
      <c r="A695" s="157"/>
      <c r="B695" s="1"/>
      <c r="C695" s="157"/>
      <c r="D695" s="1"/>
      <c r="E695" s="150"/>
      <c r="F695" s="150"/>
      <c r="G695" s="151"/>
      <c r="H695" s="150"/>
      <c r="I695" s="150"/>
      <c r="J695" s="151"/>
      <c r="K695" s="151"/>
      <c r="L695" s="150"/>
      <c r="M695" s="151"/>
      <c r="N695" s="151"/>
      <c r="O695" s="151"/>
      <c r="P695" s="150"/>
      <c r="Q695" s="150"/>
      <c r="R695" s="158"/>
      <c r="S695" s="158"/>
      <c r="T695" s="158"/>
      <c r="U695" s="158"/>
      <c r="V695" s="1"/>
      <c r="W695" s="1"/>
      <c r="X695" s="157"/>
      <c r="Y695" s="157"/>
      <c r="Z695" s="157"/>
      <c r="AA695" s="157"/>
      <c r="AB695" s="157"/>
      <c r="AC695" s="151"/>
      <c r="AD695" s="151"/>
      <c r="AE695" s="151"/>
      <c r="AF695" s="157"/>
      <c r="AG695" s="157"/>
      <c r="AH695" s="157"/>
      <c r="AI695" s="157"/>
      <c r="AJ695" s="157"/>
      <c r="AK695" s="157"/>
      <c r="AL695" s="157"/>
      <c r="AM695" s="157"/>
      <c r="AN695" s="159"/>
      <c r="AO695" s="159"/>
      <c r="AP695" s="160"/>
      <c r="AQ695" s="160"/>
      <c r="AR695" s="160"/>
      <c r="AS695" s="159"/>
      <c r="AT695" s="159"/>
      <c r="AU695" s="161"/>
      <c r="AV695" s="157"/>
      <c r="AW695" s="157"/>
      <c r="AX695" s="157"/>
      <c r="AY695" s="157"/>
      <c r="AZ695" s="157"/>
      <c r="BA695" s="157"/>
      <c r="BB695" s="157"/>
      <c r="BC695" s="151"/>
      <c r="BD695" s="157"/>
      <c r="BE695" s="157"/>
      <c r="BF695" s="157"/>
      <c r="BG695" s="157"/>
      <c r="BH695" s="157"/>
      <c r="BI695" s="157"/>
      <c r="BJ695" s="353"/>
      <c r="BK695" s="353"/>
      <c r="BL695" s="353"/>
      <c r="BM695" s="14"/>
      <c r="BN695" s="14"/>
      <c r="BO695" s="14"/>
    </row>
    <row r="696" spans="1:67" ht="20.100000000000001" customHeight="1">
      <c r="A696" s="157"/>
      <c r="B696" s="1"/>
      <c r="C696" s="157"/>
      <c r="D696" s="1"/>
      <c r="E696" s="150"/>
      <c r="F696" s="150"/>
      <c r="G696" s="151"/>
      <c r="H696" s="150"/>
      <c r="I696" s="150"/>
      <c r="J696" s="151"/>
      <c r="K696" s="151"/>
      <c r="L696" s="150"/>
      <c r="M696" s="151"/>
      <c r="N696" s="151"/>
      <c r="O696" s="151"/>
      <c r="P696" s="150"/>
      <c r="Q696" s="150"/>
      <c r="R696" s="158"/>
      <c r="S696" s="158"/>
      <c r="T696" s="158"/>
      <c r="U696" s="158"/>
      <c r="V696" s="1"/>
      <c r="W696" s="1"/>
      <c r="X696" s="157"/>
      <c r="Y696" s="157"/>
      <c r="Z696" s="157"/>
      <c r="AA696" s="157"/>
      <c r="AB696" s="157"/>
      <c r="AC696" s="151"/>
      <c r="AD696" s="151"/>
      <c r="AE696" s="151"/>
      <c r="AF696" s="157"/>
      <c r="AG696" s="157"/>
      <c r="AH696" s="157"/>
      <c r="AI696" s="157"/>
      <c r="AJ696" s="157"/>
      <c r="AK696" s="157"/>
      <c r="AL696" s="157"/>
      <c r="AM696" s="157"/>
      <c r="AN696" s="159"/>
      <c r="AO696" s="159"/>
      <c r="AP696" s="160"/>
      <c r="AQ696" s="160"/>
      <c r="AR696" s="160"/>
      <c r="AS696" s="159"/>
      <c r="AT696" s="159"/>
      <c r="AU696" s="161"/>
      <c r="AV696" s="157"/>
      <c r="AW696" s="157"/>
      <c r="AX696" s="157"/>
      <c r="AY696" s="157"/>
      <c r="AZ696" s="157"/>
      <c r="BA696" s="157"/>
      <c r="BB696" s="157"/>
      <c r="BC696" s="151"/>
      <c r="BD696" s="157"/>
      <c r="BE696" s="157"/>
      <c r="BF696" s="157"/>
      <c r="BG696" s="157"/>
      <c r="BH696" s="157"/>
      <c r="BI696" s="157"/>
      <c r="BJ696" s="353"/>
      <c r="BK696" s="353"/>
      <c r="BL696" s="353"/>
      <c r="BM696" s="14"/>
      <c r="BN696" s="14"/>
      <c r="BO696" s="14"/>
    </row>
    <row r="697" spans="1:67" ht="20.100000000000001" customHeight="1">
      <c r="A697" s="157"/>
      <c r="B697" s="1"/>
      <c r="C697" s="157"/>
      <c r="D697" s="1"/>
      <c r="E697" s="150"/>
      <c r="F697" s="150"/>
      <c r="G697" s="151"/>
      <c r="H697" s="150"/>
      <c r="I697" s="150"/>
      <c r="J697" s="151"/>
      <c r="K697" s="151"/>
      <c r="L697" s="150"/>
      <c r="M697" s="151"/>
      <c r="N697" s="151"/>
      <c r="O697" s="151"/>
      <c r="P697" s="150"/>
      <c r="Q697" s="150"/>
      <c r="R697" s="158"/>
      <c r="S697" s="158"/>
      <c r="T697" s="158"/>
      <c r="U697" s="158"/>
      <c r="V697" s="1"/>
      <c r="W697" s="1"/>
      <c r="X697" s="157"/>
      <c r="Y697" s="157"/>
      <c r="Z697" s="157"/>
      <c r="AA697" s="157"/>
      <c r="AB697" s="157"/>
      <c r="AC697" s="151"/>
      <c r="AD697" s="151"/>
      <c r="AE697" s="151"/>
      <c r="AF697" s="157"/>
      <c r="AG697" s="157"/>
      <c r="AH697" s="157"/>
      <c r="AI697" s="157"/>
      <c r="AJ697" s="157"/>
      <c r="AK697" s="157"/>
      <c r="AL697" s="157"/>
      <c r="AM697" s="157"/>
      <c r="AN697" s="159"/>
      <c r="AO697" s="159"/>
      <c r="AP697" s="160"/>
      <c r="AQ697" s="160"/>
      <c r="AR697" s="160"/>
      <c r="AS697" s="159"/>
      <c r="AT697" s="159"/>
      <c r="AU697" s="161"/>
      <c r="AV697" s="157"/>
      <c r="AW697" s="157"/>
      <c r="AX697" s="157"/>
      <c r="AY697" s="157"/>
      <c r="AZ697" s="157"/>
      <c r="BA697" s="157"/>
      <c r="BB697" s="157"/>
      <c r="BC697" s="151"/>
      <c r="BD697" s="157"/>
      <c r="BE697" s="157"/>
      <c r="BF697" s="157"/>
      <c r="BG697" s="157"/>
      <c r="BH697" s="157"/>
      <c r="BI697" s="157"/>
      <c r="BJ697" s="353"/>
      <c r="BK697" s="353"/>
      <c r="BL697" s="353"/>
      <c r="BM697" s="14"/>
      <c r="BN697" s="14"/>
      <c r="BO697" s="14"/>
    </row>
    <row r="698" spans="1:67" ht="20.100000000000001" customHeight="1">
      <c r="A698" s="157"/>
      <c r="B698" s="1"/>
      <c r="C698" s="157"/>
      <c r="D698" s="1"/>
      <c r="E698" s="150"/>
      <c r="F698" s="150"/>
      <c r="G698" s="151"/>
      <c r="H698" s="150"/>
      <c r="I698" s="150"/>
      <c r="J698" s="151"/>
      <c r="K698" s="151"/>
      <c r="L698" s="150"/>
      <c r="M698" s="151"/>
      <c r="N698" s="151"/>
      <c r="O698" s="151"/>
      <c r="P698" s="150"/>
      <c r="Q698" s="150"/>
      <c r="R698" s="158"/>
      <c r="S698" s="158"/>
      <c r="T698" s="158"/>
      <c r="U698" s="158"/>
      <c r="V698" s="1"/>
      <c r="W698" s="1"/>
      <c r="X698" s="157"/>
      <c r="Y698" s="157"/>
      <c r="Z698" s="157"/>
      <c r="AA698" s="157"/>
      <c r="AB698" s="157"/>
      <c r="AC698" s="151"/>
      <c r="AD698" s="151"/>
      <c r="AE698" s="151"/>
      <c r="AF698" s="157"/>
      <c r="AG698" s="157"/>
      <c r="AH698" s="157"/>
      <c r="AI698" s="157"/>
      <c r="AJ698" s="157"/>
      <c r="AK698" s="157"/>
      <c r="AL698" s="157"/>
      <c r="AM698" s="157"/>
      <c r="AN698" s="159"/>
      <c r="AO698" s="159"/>
      <c r="AP698" s="160"/>
      <c r="AQ698" s="160"/>
      <c r="AR698" s="160"/>
      <c r="AS698" s="159"/>
      <c r="AT698" s="159"/>
      <c r="AU698" s="161"/>
      <c r="AV698" s="157"/>
      <c r="AW698" s="157"/>
      <c r="AX698" s="157"/>
      <c r="AY698" s="157"/>
      <c r="AZ698" s="157"/>
      <c r="BA698" s="157"/>
      <c r="BB698" s="157"/>
      <c r="BC698" s="151"/>
      <c r="BD698" s="157"/>
      <c r="BE698" s="157"/>
      <c r="BF698" s="157"/>
      <c r="BG698" s="157"/>
      <c r="BH698" s="157"/>
      <c r="BI698" s="157"/>
      <c r="BJ698" s="353"/>
      <c r="BK698" s="353"/>
      <c r="BL698" s="353"/>
      <c r="BM698" s="14"/>
      <c r="BN698" s="14"/>
      <c r="BO698" s="14"/>
    </row>
    <row r="699" spans="1:67" ht="20.100000000000001" customHeight="1">
      <c r="A699" s="157"/>
      <c r="B699" s="1"/>
      <c r="C699" s="157"/>
      <c r="D699" s="1"/>
      <c r="E699" s="150"/>
      <c r="F699" s="150"/>
      <c r="G699" s="151"/>
      <c r="H699" s="150"/>
      <c r="I699" s="150"/>
      <c r="J699" s="151"/>
      <c r="K699" s="151"/>
      <c r="L699" s="150"/>
      <c r="M699" s="151"/>
      <c r="N699" s="151"/>
      <c r="O699" s="151"/>
      <c r="P699" s="150"/>
      <c r="Q699" s="150"/>
      <c r="R699" s="158"/>
      <c r="S699" s="158"/>
      <c r="T699" s="158"/>
      <c r="U699" s="158"/>
      <c r="V699" s="1"/>
      <c r="W699" s="1"/>
      <c r="X699" s="157"/>
      <c r="Y699" s="157"/>
      <c r="Z699" s="157"/>
      <c r="AA699" s="157"/>
      <c r="AB699" s="157"/>
      <c r="AC699" s="151"/>
      <c r="AD699" s="151"/>
      <c r="AE699" s="151"/>
      <c r="AF699" s="157"/>
      <c r="AG699" s="157"/>
      <c r="AH699" s="157"/>
      <c r="AI699" s="157"/>
      <c r="AJ699" s="157"/>
      <c r="AK699" s="157"/>
      <c r="AL699" s="157"/>
      <c r="AM699" s="157"/>
      <c r="AN699" s="159"/>
      <c r="AO699" s="159"/>
      <c r="AP699" s="160"/>
      <c r="AQ699" s="160"/>
      <c r="AR699" s="160"/>
      <c r="AS699" s="159"/>
      <c r="AT699" s="159"/>
      <c r="AU699" s="161"/>
      <c r="AV699" s="157"/>
      <c r="AW699" s="157"/>
      <c r="AX699" s="157"/>
      <c r="AY699" s="157"/>
      <c r="AZ699" s="157"/>
      <c r="BA699" s="157"/>
      <c r="BB699" s="157"/>
      <c r="BC699" s="151"/>
      <c r="BD699" s="157"/>
      <c r="BE699" s="157"/>
      <c r="BF699" s="157"/>
      <c r="BG699" s="157"/>
      <c r="BH699" s="157"/>
      <c r="BI699" s="157"/>
      <c r="BJ699" s="353"/>
      <c r="BK699" s="353"/>
      <c r="BL699" s="353"/>
      <c r="BM699" s="14"/>
      <c r="BN699" s="14"/>
      <c r="BO699" s="14"/>
    </row>
    <row r="700" spans="1:67" ht="20.100000000000001" customHeight="1">
      <c r="A700" s="157"/>
      <c r="B700" s="1"/>
      <c r="C700" s="157"/>
      <c r="D700" s="1"/>
      <c r="E700" s="150"/>
      <c r="F700" s="150"/>
      <c r="G700" s="151"/>
      <c r="H700" s="150"/>
      <c r="I700" s="150"/>
      <c r="J700" s="151"/>
      <c r="K700" s="151"/>
      <c r="L700" s="150"/>
      <c r="M700" s="151"/>
      <c r="N700" s="151"/>
      <c r="O700" s="151"/>
      <c r="P700" s="150"/>
      <c r="Q700" s="150"/>
      <c r="R700" s="158"/>
      <c r="S700" s="158"/>
      <c r="T700" s="158"/>
      <c r="U700" s="158"/>
      <c r="V700" s="1"/>
      <c r="W700" s="1"/>
      <c r="X700" s="157"/>
      <c r="Y700" s="157"/>
      <c r="Z700" s="157"/>
      <c r="AA700" s="157"/>
      <c r="AB700" s="157"/>
      <c r="AC700" s="151"/>
      <c r="AD700" s="151"/>
      <c r="AE700" s="151"/>
      <c r="AF700" s="157"/>
      <c r="AG700" s="157"/>
      <c r="AH700" s="157"/>
      <c r="AI700" s="157"/>
      <c r="AJ700" s="157"/>
      <c r="AK700" s="157"/>
      <c r="AL700" s="157"/>
      <c r="AM700" s="157"/>
      <c r="AN700" s="159"/>
      <c r="AO700" s="159"/>
      <c r="AP700" s="160"/>
      <c r="AQ700" s="160"/>
      <c r="AR700" s="160"/>
      <c r="AS700" s="159"/>
      <c r="AT700" s="159"/>
      <c r="AU700" s="161"/>
      <c r="AV700" s="157"/>
      <c r="AW700" s="157"/>
      <c r="AX700" s="157"/>
      <c r="AY700" s="157"/>
      <c r="AZ700" s="157"/>
      <c r="BA700" s="157"/>
      <c r="BB700" s="157"/>
      <c r="BC700" s="151"/>
      <c r="BD700" s="157"/>
      <c r="BE700" s="157"/>
      <c r="BF700" s="157"/>
      <c r="BG700" s="157"/>
      <c r="BH700" s="157"/>
      <c r="BI700" s="157"/>
      <c r="BJ700" s="353"/>
      <c r="BK700" s="353"/>
      <c r="BL700" s="353"/>
      <c r="BM700" s="14"/>
      <c r="BN700" s="14"/>
      <c r="BO700" s="14"/>
    </row>
    <row r="701" spans="1:67" ht="20.100000000000001" customHeight="1">
      <c r="A701" s="157"/>
      <c r="B701" s="1"/>
      <c r="C701" s="157"/>
      <c r="D701" s="1"/>
      <c r="E701" s="150"/>
      <c r="F701" s="150"/>
      <c r="G701" s="151"/>
      <c r="H701" s="150"/>
      <c r="I701" s="150"/>
      <c r="J701" s="151"/>
      <c r="K701" s="151"/>
      <c r="L701" s="150"/>
      <c r="M701" s="151"/>
      <c r="N701" s="151"/>
      <c r="O701" s="151"/>
      <c r="P701" s="150"/>
      <c r="Q701" s="150"/>
      <c r="R701" s="158"/>
      <c r="S701" s="158"/>
      <c r="T701" s="158"/>
      <c r="U701" s="158"/>
      <c r="V701" s="1"/>
      <c r="W701" s="1"/>
      <c r="X701" s="157"/>
      <c r="Y701" s="157"/>
      <c r="Z701" s="157"/>
      <c r="AA701" s="157"/>
      <c r="AB701" s="157"/>
      <c r="AC701" s="151"/>
      <c r="AD701" s="151"/>
      <c r="AE701" s="151"/>
      <c r="AF701" s="157"/>
      <c r="AG701" s="157"/>
      <c r="AH701" s="157"/>
      <c r="AI701" s="157"/>
      <c r="AJ701" s="157"/>
      <c r="AK701" s="157"/>
      <c r="AL701" s="157"/>
      <c r="AM701" s="157"/>
      <c r="AN701" s="159"/>
      <c r="AO701" s="159"/>
      <c r="AP701" s="160"/>
      <c r="AQ701" s="160"/>
      <c r="AR701" s="160"/>
      <c r="AS701" s="159"/>
      <c r="AT701" s="159"/>
      <c r="AU701" s="161"/>
      <c r="AV701" s="157"/>
      <c r="AW701" s="157"/>
      <c r="AX701" s="157"/>
      <c r="AY701" s="157"/>
      <c r="AZ701" s="157"/>
      <c r="BA701" s="157"/>
      <c r="BB701" s="157"/>
      <c r="BC701" s="151"/>
      <c r="BD701" s="157"/>
      <c r="BE701" s="157"/>
      <c r="BF701" s="157"/>
      <c r="BG701" s="157"/>
      <c r="BH701" s="157"/>
      <c r="BI701" s="157"/>
      <c r="BJ701" s="353"/>
      <c r="BK701" s="353"/>
      <c r="BL701" s="353"/>
      <c r="BM701" s="14"/>
      <c r="BN701" s="14"/>
      <c r="BO701" s="14"/>
    </row>
    <row r="702" spans="1:67" ht="20.100000000000001" customHeight="1">
      <c r="A702" s="157"/>
      <c r="B702" s="1"/>
      <c r="C702" s="157"/>
      <c r="D702" s="1"/>
      <c r="E702" s="150"/>
      <c r="F702" s="150"/>
      <c r="G702" s="151"/>
      <c r="H702" s="150"/>
      <c r="I702" s="150"/>
      <c r="J702" s="151"/>
      <c r="K702" s="151"/>
      <c r="L702" s="150"/>
      <c r="M702" s="151"/>
      <c r="N702" s="151"/>
      <c r="O702" s="151"/>
      <c r="P702" s="150"/>
      <c r="Q702" s="150"/>
      <c r="R702" s="158"/>
      <c r="S702" s="158"/>
      <c r="T702" s="158"/>
      <c r="U702" s="158"/>
      <c r="V702" s="1"/>
      <c r="W702" s="1"/>
      <c r="X702" s="157"/>
      <c r="Y702" s="157"/>
      <c r="Z702" s="157"/>
      <c r="AA702" s="157"/>
      <c r="AB702" s="157"/>
      <c r="AC702" s="151"/>
      <c r="AD702" s="151"/>
      <c r="AE702" s="151"/>
      <c r="AF702" s="157"/>
      <c r="AG702" s="157"/>
      <c r="AH702" s="157"/>
      <c r="AI702" s="157"/>
      <c r="AJ702" s="157"/>
      <c r="AK702" s="157"/>
      <c r="AL702" s="157"/>
      <c r="AM702" s="157"/>
      <c r="AN702" s="159"/>
      <c r="AO702" s="159"/>
      <c r="AP702" s="160"/>
      <c r="AQ702" s="160"/>
      <c r="AR702" s="160"/>
      <c r="AS702" s="159"/>
      <c r="AT702" s="159"/>
      <c r="AU702" s="161"/>
      <c r="AV702" s="157"/>
      <c r="AW702" s="157"/>
      <c r="AX702" s="157"/>
      <c r="AY702" s="157"/>
      <c r="AZ702" s="157"/>
      <c r="BA702" s="157"/>
      <c r="BB702" s="157"/>
      <c r="BC702" s="151"/>
      <c r="BD702" s="157"/>
      <c r="BE702" s="157"/>
      <c r="BF702" s="157"/>
      <c r="BG702" s="157"/>
      <c r="BH702" s="157"/>
      <c r="BI702" s="157"/>
      <c r="BJ702" s="353"/>
      <c r="BK702" s="353"/>
      <c r="BL702" s="353"/>
      <c r="BM702" s="14"/>
      <c r="BN702" s="14"/>
      <c r="BO702" s="14"/>
    </row>
    <row r="703" spans="1:67" ht="20.100000000000001" customHeight="1">
      <c r="A703" s="157"/>
      <c r="B703" s="1"/>
      <c r="C703" s="157"/>
      <c r="D703" s="1"/>
      <c r="E703" s="150"/>
      <c r="F703" s="150"/>
      <c r="G703" s="151"/>
      <c r="H703" s="150"/>
      <c r="I703" s="150"/>
      <c r="J703" s="151"/>
      <c r="K703" s="151"/>
      <c r="L703" s="150"/>
      <c r="M703" s="151"/>
      <c r="N703" s="151"/>
      <c r="O703" s="151"/>
      <c r="P703" s="150"/>
      <c r="Q703" s="150"/>
      <c r="R703" s="158"/>
      <c r="S703" s="158"/>
      <c r="T703" s="158"/>
      <c r="U703" s="158"/>
      <c r="V703" s="1"/>
      <c r="W703" s="1"/>
      <c r="X703" s="157"/>
      <c r="Y703" s="157"/>
      <c r="Z703" s="157"/>
      <c r="AA703" s="157"/>
      <c r="AB703" s="157"/>
      <c r="AC703" s="151"/>
      <c r="AD703" s="151"/>
      <c r="AE703" s="151"/>
      <c r="AF703" s="157"/>
      <c r="AG703" s="157"/>
      <c r="AH703" s="157"/>
      <c r="AI703" s="157"/>
      <c r="AJ703" s="157"/>
      <c r="AK703" s="157"/>
      <c r="AL703" s="157"/>
      <c r="AM703" s="157"/>
      <c r="AN703" s="159"/>
      <c r="AO703" s="159"/>
      <c r="AP703" s="160"/>
      <c r="AQ703" s="160"/>
      <c r="AR703" s="160"/>
      <c r="AS703" s="159"/>
      <c r="AT703" s="159"/>
      <c r="AU703" s="161"/>
      <c r="AV703" s="157"/>
      <c r="AW703" s="157"/>
      <c r="AX703" s="157"/>
      <c r="AY703" s="157"/>
      <c r="AZ703" s="157"/>
      <c r="BA703" s="157"/>
      <c r="BB703" s="157"/>
      <c r="BC703" s="151"/>
      <c r="BD703" s="157"/>
      <c r="BE703" s="157"/>
      <c r="BF703" s="157"/>
      <c r="BG703" s="157"/>
      <c r="BH703" s="157"/>
      <c r="BI703" s="157"/>
      <c r="BJ703" s="353"/>
      <c r="BK703" s="353"/>
      <c r="BL703" s="353"/>
      <c r="BM703" s="14"/>
      <c r="BN703" s="14"/>
      <c r="BO703" s="14"/>
    </row>
    <row r="704" spans="1:67" ht="20.100000000000001" customHeight="1">
      <c r="A704" s="157"/>
      <c r="B704" s="1"/>
      <c r="C704" s="157"/>
      <c r="D704" s="1"/>
      <c r="E704" s="150"/>
      <c r="F704" s="150"/>
      <c r="G704" s="151"/>
      <c r="H704" s="150"/>
      <c r="I704" s="150"/>
      <c r="J704" s="151"/>
      <c r="K704" s="151"/>
      <c r="L704" s="150"/>
      <c r="M704" s="151"/>
      <c r="N704" s="151"/>
      <c r="O704" s="151"/>
      <c r="P704" s="150"/>
      <c r="Q704" s="150"/>
      <c r="R704" s="158"/>
      <c r="S704" s="158"/>
      <c r="T704" s="158"/>
      <c r="U704" s="158"/>
      <c r="V704" s="1"/>
      <c r="W704" s="1"/>
      <c r="X704" s="157"/>
      <c r="Y704" s="157"/>
      <c r="Z704" s="157"/>
      <c r="AA704" s="157"/>
      <c r="AB704" s="157"/>
      <c r="AC704" s="151"/>
      <c r="AD704" s="151"/>
      <c r="AE704" s="151"/>
      <c r="AF704" s="157"/>
      <c r="AG704" s="157"/>
      <c r="AH704" s="157"/>
      <c r="AI704" s="157"/>
      <c r="AJ704" s="157"/>
      <c r="AK704" s="157"/>
      <c r="AL704" s="157"/>
      <c r="AM704" s="157"/>
      <c r="AN704" s="159"/>
      <c r="AO704" s="159"/>
      <c r="AP704" s="160"/>
      <c r="AQ704" s="160"/>
      <c r="AR704" s="160"/>
      <c r="AS704" s="159"/>
      <c r="AT704" s="159"/>
      <c r="AU704" s="161"/>
      <c r="AV704" s="157"/>
      <c r="AW704" s="157"/>
      <c r="AX704" s="157"/>
      <c r="AY704" s="157"/>
      <c r="AZ704" s="157"/>
      <c r="BA704" s="157"/>
      <c r="BB704" s="157"/>
      <c r="BC704" s="151"/>
      <c r="BD704" s="157"/>
      <c r="BE704" s="157"/>
      <c r="BF704" s="157"/>
      <c r="BG704" s="157"/>
      <c r="BH704" s="157"/>
      <c r="BI704" s="157"/>
      <c r="BJ704" s="353"/>
      <c r="BK704" s="353"/>
      <c r="BL704" s="353"/>
      <c r="BM704" s="14"/>
      <c r="BN704" s="14"/>
      <c r="BO704" s="14"/>
    </row>
    <row r="705" spans="1:67" ht="20.100000000000001" customHeight="1">
      <c r="A705" s="157"/>
      <c r="B705" s="1"/>
      <c r="C705" s="157"/>
      <c r="D705" s="1"/>
      <c r="E705" s="150"/>
      <c r="F705" s="150"/>
      <c r="G705" s="151"/>
      <c r="H705" s="150"/>
      <c r="I705" s="150"/>
      <c r="J705" s="151"/>
      <c r="K705" s="151"/>
      <c r="L705" s="150"/>
      <c r="M705" s="151"/>
      <c r="N705" s="151"/>
      <c r="O705" s="151"/>
      <c r="P705" s="150"/>
      <c r="Q705" s="150"/>
      <c r="R705" s="158"/>
      <c r="S705" s="158"/>
      <c r="T705" s="158"/>
      <c r="U705" s="158"/>
      <c r="V705" s="1"/>
      <c r="W705" s="1"/>
      <c r="X705" s="157"/>
      <c r="Y705" s="157"/>
      <c r="Z705" s="157"/>
      <c r="AA705" s="157"/>
      <c r="AB705" s="157"/>
      <c r="AC705" s="151"/>
      <c r="AD705" s="151"/>
      <c r="AE705" s="151"/>
      <c r="AF705" s="157"/>
      <c r="AG705" s="157"/>
      <c r="AH705" s="157"/>
      <c r="AI705" s="157"/>
      <c r="AJ705" s="157"/>
      <c r="AK705" s="157"/>
      <c r="AL705" s="157"/>
      <c r="AM705" s="157"/>
      <c r="AN705" s="159"/>
      <c r="AO705" s="159"/>
      <c r="AP705" s="160"/>
      <c r="AQ705" s="160"/>
      <c r="AR705" s="160"/>
      <c r="AS705" s="159"/>
      <c r="AT705" s="159"/>
      <c r="AU705" s="161"/>
      <c r="AV705" s="157"/>
      <c r="AW705" s="157"/>
      <c r="AX705" s="157"/>
      <c r="AY705" s="157"/>
      <c r="AZ705" s="157"/>
      <c r="BA705" s="157"/>
      <c r="BB705" s="157"/>
      <c r="BC705" s="151"/>
      <c r="BD705" s="157"/>
      <c r="BE705" s="157"/>
      <c r="BF705" s="157"/>
      <c r="BG705" s="157"/>
      <c r="BH705" s="157"/>
      <c r="BI705" s="157"/>
      <c r="BJ705" s="353"/>
      <c r="BK705" s="353"/>
      <c r="BL705" s="353"/>
      <c r="BM705" s="14"/>
      <c r="BN705" s="14"/>
      <c r="BO705" s="14"/>
    </row>
    <row r="706" spans="1:67" ht="20.100000000000001" customHeight="1">
      <c r="A706" s="157"/>
      <c r="B706" s="1"/>
      <c r="C706" s="157"/>
      <c r="D706" s="1"/>
      <c r="E706" s="150"/>
      <c r="F706" s="150"/>
      <c r="G706" s="151"/>
      <c r="H706" s="150"/>
      <c r="I706" s="150"/>
      <c r="J706" s="151"/>
      <c r="K706" s="151"/>
      <c r="L706" s="150"/>
      <c r="M706" s="151"/>
      <c r="N706" s="151"/>
      <c r="O706" s="151"/>
      <c r="P706" s="150"/>
      <c r="Q706" s="150"/>
      <c r="R706" s="158"/>
      <c r="S706" s="158"/>
      <c r="T706" s="158"/>
      <c r="U706" s="158"/>
      <c r="V706" s="1"/>
      <c r="W706" s="1"/>
      <c r="X706" s="157"/>
      <c r="Y706" s="157"/>
      <c r="Z706" s="157"/>
      <c r="AA706" s="157"/>
      <c r="AB706" s="157"/>
      <c r="AC706" s="151"/>
      <c r="AD706" s="151"/>
      <c r="AE706" s="151"/>
      <c r="AF706" s="157"/>
      <c r="AG706" s="157"/>
      <c r="AH706" s="157"/>
      <c r="AI706" s="157"/>
      <c r="AJ706" s="157"/>
      <c r="AK706" s="157"/>
      <c r="AL706" s="157"/>
      <c r="AM706" s="157"/>
      <c r="AN706" s="159"/>
      <c r="AO706" s="159"/>
      <c r="AP706" s="160"/>
      <c r="AQ706" s="160"/>
      <c r="AR706" s="160"/>
      <c r="AS706" s="159"/>
      <c r="AT706" s="159"/>
      <c r="AU706" s="161"/>
      <c r="AV706" s="157"/>
      <c r="AW706" s="157"/>
      <c r="AX706" s="157"/>
      <c r="AY706" s="157"/>
      <c r="AZ706" s="157"/>
      <c r="BA706" s="157"/>
      <c r="BB706" s="157"/>
      <c r="BC706" s="151"/>
      <c r="BD706" s="157"/>
      <c r="BE706" s="157"/>
      <c r="BF706" s="157"/>
      <c r="BG706" s="157"/>
      <c r="BH706" s="157"/>
      <c r="BI706" s="157"/>
      <c r="BJ706" s="353"/>
      <c r="BK706" s="353"/>
      <c r="BL706" s="353"/>
      <c r="BM706" s="14"/>
      <c r="BN706" s="14"/>
      <c r="BO706" s="14"/>
    </row>
    <row r="707" spans="1:67" ht="20.100000000000001" customHeight="1">
      <c r="A707" s="157"/>
      <c r="B707" s="1"/>
      <c r="C707" s="157"/>
      <c r="D707" s="1"/>
      <c r="E707" s="150"/>
      <c r="F707" s="150"/>
      <c r="G707" s="151"/>
      <c r="H707" s="150"/>
      <c r="I707" s="150"/>
      <c r="J707" s="151"/>
      <c r="K707" s="151"/>
      <c r="L707" s="150"/>
      <c r="M707" s="151"/>
      <c r="N707" s="151"/>
      <c r="O707" s="151"/>
      <c r="P707" s="150"/>
      <c r="Q707" s="150"/>
      <c r="R707" s="158"/>
      <c r="S707" s="158"/>
      <c r="T707" s="158"/>
      <c r="U707" s="158"/>
      <c r="V707" s="1"/>
      <c r="W707" s="1"/>
      <c r="X707" s="157"/>
      <c r="Y707" s="157"/>
      <c r="Z707" s="157"/>
      <c r="AA707" s="157"/>
      <c r="AB707" s="157"/>
      <c r="AC707" s="151"/>
      <c r="AD707" s="151"/>
      <c r="AE707" s="151"/>
      <c r="AF707" s="157"/>
      <c r="AG707" s="157"/>
      <c r="AH707" s="157"/>
      <c r="AI707" s="157"/>
      <c r="AJ707" s="157"/>
      <c r="AK707" s="157"/>
      <c r="AL707" s="157"/>
      <c r="AM707" s="157"/>
      <c r="AN707" s="159"/>
      <c r="AO707" s="159"/>
      <c r="AP707" s="160"/>
      <c r="AQ707" s="160"/>
      <c r="AR707" s="160"/>
      <c r="AS707" s="159"/>
      <c r="AT707" s="159"/>
      <c r="AU707" s="161"/>
      <c r="AV707" s="157"/>
      <c r="AW707" s="157"/>
      <c r="AX707" s="157"/>
      <c r="AY707" s="157"/>
      <c r="AZ707" s="157"/>
      <c r="BA707" s="157"/>
      <c r="BB707" s="157"/>
      <c r="BC707" s="151"/>
      <c r="BD707" s="157"/>
      <c r="BE707" s="157"/>
      <c r="BF707" s="157"/>
      <c r="BG707" s="157"/>
      <c r="BH707" s="157"/>
      <c r="BI707" s="157"/>
      <c r="BJ707" s="353"/>
      <c r="BK707" s="353"/>
      <c r="BL707" s="353"/>
      <c r="BM707" s="14"/>
      <c r="BN707" s="14"/>
      <c r="BO707" s="14"/>
    </row>
    <row r="708" spans="1:67" ht="20.100000000000001" customHeight="1">
      <c r="A708" s="157"/>
      <c r="B708" s="1"/>
      <c r="C708" s="157"/>
      <c r="D708" s="1"/>
      <c r="E708" s="150"/>
      <c r="F708" s="150"/>
      <c r="G708" s="151"/>
      <c r="H708" s="150"/>
      <c r="I708" s="150"/>
      <c r="J708" s="151"/>
      <c r="K708" s="151"/>
      <c r="L708" s="150"/>
      <c r="M708" s="151"/>
      <c r="N708" s="151"/>
      <c r="O708" s="151"/>
      <c r="P708" s="150"/>
      <c r="Q708" s="150"/>
      <c r="R708" s="158"/>
      <c r="S708" s="158"/>
      <c r="T708" s="158"/>
      <c r="U708" s="158"/>
      <c r="V708" s="1"/>
      <c r="W708" s="1"/>
      <c r="X708" s="157"/>
      <c r="Y708" s="157"/>
      <c r="Z708" s="157"/>
      <c r="AA708" s="157"/>
      <c r="AB708" s="157"/>
      <c r="AC708" s="151"/>
      <c r="AD708" s="151"/>
      <c r="AE708" s="151"/>
      <c r="AF708" s="157"/>
      <c r="AG708" s="157"/>
      <c r="AH708" s="157"/>
      <c r="AI708" s="157"/>
      <c r="AJ708" s="157"/>
      <c r="AK708" s="157"/>
      <c r="AL708" s="157"/>
      <c r="AM708" s="157"/>
      <c r="AN708" s="159"/>
      <c r="AO708" s="159"/>
      <c r="AP708" s="160"/>
      <c r="AQ708" s="160"/>
      <c r="AR708" s="160"/>
      <c r="AS708" s="159"/>
      <c r="AT708" s="159"/>
      <c r="AU708" s="161"/>
      <c r="AV708" s="157"/>
      <c r="AW708" s="157"/>
      <c r="AX708" s="157"/>
      <c r="AY708" s="157"/>
      <c r="AZ708" s="157"/>
      <c r="BA708" s="157"/>
      <c r="BB708" s="157"/>
      <c r="BC708" s="151"/>
      <c r="BD708" s="157"/>
      <c r="BE708" s="157"/>
      <c r="BF708" s="157"/>
      <c r="BG708" s="157"/>
      <c r="BH708" s="157"/>
      <c r="BI708" s="157"/>
      <c r="BJ708" s="353"/>
      <c r="BK708" s="353"/>
      <c r="BL708" s="353"/>
      <c r="BM708" s="14"/>
      <c r="BN708" s="14"/>
      <c r="BO708" s="14"/>
    </row>
    <row r="709" spans="1:67" ht="20.100000000000001" customHeight="1">
      <c r="A709" s="157"/>
      <c r="B709" s="1"/>
      <c r="C709" s="157"/>
      <c r="D709" s="1"/>
      <c r="E709" s="150"/>
      <c r="F709" s="150"/>
      <c r="G709" s="151"/>
      <c r="H709" s="150"/>
      <c r="I709" s="150"/>
      <c r="J709" s="151"/>
      <c r="K709" s="151"/>
      <c r="L709" s="150"/>
      <c r="M709" s="151"/>
      <c r="N709" s="151"/>
      <c r="O709" s="151"/>
      <c r="P709" s="150"/>
      <c r="Q709" s="150"/>
      <c r="R709" s="158"/>
      <c r="S709" s="158"/>
      <c r="T709" s="158"/>
      <c r="U709" s="158"/>
      <c r="V709" s="1"/>
      <c r="W709" s="1"/>
      <c r="X709" s="157"/>
      <c r="Y709" s="157"/>
      <c r="Z709" s="157"/>
      <c r="AA709" s="157"/>
      <c r="AB709" s="157"/>
      <c r="AC709" s="151"/>
      <c r="AD709" s="151"/>
      <c r="AE709" s="151"/>
      <c r="AF709" s="157"/>
      <c r="AG709" s="157"/>
      <c r="AH709" s="157"/>
      <c r="AI709" s="157"/>
      <c r="AJ709" s="157"/>
      <c r="AK709" s="157"/>
      <c r="AL709" s="157"/>
      <c r="AM709" s="157"/>
      <c r="AN709" s="159"/>
      <c r="AO709" s="159"/>
      <c r="AP709" s="160"/>
      <c r="AQ709" s="160"/>
      <c r="AR709" s="160"/>
      <c r="AS709" s="159"/>
      <c r="AT709" s="159"/>
      <c r="AU709" s="161"/>
      <c r="AV709" s="157"/>
      <c r="AW709" s="157"/>
      <c r="AX709" s="157"/>
      <c r="AY709" s="157"/>
      <c r="AZ709" s="157"/>
      <c r="BA709" s="157"/>
      <c r="BB709" s="157"/>
      <c r="BC709" s="151"/>
      <c r="BD709" s="157"/>
      <c r="BE709" s="157"/>
      <c r="BF709" s="157"/>
      <c r="BG709" s="157"/>
      <c r="BH709" s="157"/>
      <c r="BI709" s="157"/>
      <c r="BJ709" s="353"/>
      <c r="BK709" s="353"/>
      <c r="BL709" s="353"/>
      <c r="BM709" s="14"/>
      <c r="BN709" s="14"/>
      <c r="BO709" s="14"/>
    </row>
    <row r="710" spans="1:67" ht="20.100000000000001" customHeight="1">
      <c r="A710" s="157"/>
      <c r="B710" s="1"/>
      <c r="C710" s="157"/>
      <c r="D710" s="1"/>
      <c r="E710" s="150"/>
      <c r="F710" s="150"/>
      <c r="G710" s="151"/>
      <c r="H710" s="150"/>
      <c r="I710" s="150"/>
      <c r="J710" s="151"/>
      <c r="K710" s="151"/>
      <c r="L710" s="150"/>
      <c r="M710" s="151"/>
      <c r="N710" s="151"/>
      <c r="O710" s="151"/>
      <c r="P710" s="150"/>
      <c r="Q710" s="150"/>
      <c r="R710" s="158"/>
      <c r="S710" s="158"/>
      <c r="T710" s="158"/>
      <c r="U710" s="158"/>
      <c r="V710" s="1"/>
      <c r="W710" s="1"/>
      <c r="X710" s="157"/>
      <c r="Y710" s="157"/>
      <c r="Z710" s="157"/>
      <c r="AA710" s="157"/>
      <c r="AB710" s="157"/>
      <c r="AC710" s="151"/>
      <c r="AD710" s="151"/>
      <c r="AE710" s="151"/>
      <c r="AF710" s="157"/>
      <c r="AG710" s="157"/>
      <c r="AH710" s="157"/>
      <c r="AI710" s="157"/>
      <c r="AJ710" s="157"/>
      <c r="AK710" s="157"/>
      <c r="AL710" s="157"/>
      <c r="AM710" s="157"/>
      <c r="AN710" s="159"/>
      <c r="AO710" s="159"/>
      <c r="AP710" s="160"/>
      <c r="AQ710" s="160"/>
      <c r="AR710" s="160"/>
      <c r="AS710" s="159"/>
      <c r="AT710" s="159"/>
      <c r="AU710" s="161"/>
      <c r="AV710" s="157"/>
      <c r="AW710" s="157"/>
      <c r="AX710" s="157"/>
      <c r="AY710" s="157"/>
      <c r="AZ710" s="157"/>
      <c r="BA710" s="157"/>
      <c r="BB710" s="157"/>
      <c r="BC710" s="151"/>
      <c r="BD710" s="157"/>
      <c r="BE710" s="157"/>
      <c r="BF710" s="157"/>
      <c r="BG710" s="157"/>
      <c r="BH710" s="157"/>
      <c r="BI710" s="157"/>
      <c r="BJ710" s="353"/>
      <c r="BK710" s="353"/>
      <c r="BL710" s="353"/>
      <c r="BM710" s="14"/>
      <c r="BN710" s="14"/>
      <c r="BO710" s="14"/>
    </row>
    <row r="711" spans="1:67" ht="20.100000000000001" customHeight="1">
      <c r="A711" s="157"/>
      <c r="B711" s="1"/>
      <c r="C711" s="157"/>
      <c r="D711" s="1"/>
      <c r="E711" s="150"/>
      <c r="F711" s="150"/>
      <c r="G711" s="151"/>
      <c r="H711" s="150"/>
      <c r="I711" s="150"/>
      <c r="J711" s="151"/>
      <c r="K711" s="151"/>
      <c r="L711" s="150"/>
      <c r="M711" s="151"/>
      <c r="N711" s="151"/>
      <c r="O711" s="151"/>
      <c r="P711" s="150"/>
      <c r="Q711" s="150"/>
      <c r="R711" s="158"/>
      <c r="S711" s="158"/>
      <c r="T711" s="158"/>
      <c r="U711" s="158"/>
      <c r="V711" s="1"/>
      <c r="W711" s="1"/>
      <c r="X711" s="157"/>
      <c r="Y711" s="157"/>
      <c r="Z711" s="157"/>
      <c r="AA711" s="157"/>
      <c r="AB711" s="157"/>
      <c r="AC711" s="151"/>
      <c r="AD711" s="151"/>
      <c r="AE711" s="151"/>
      <c r="AF711" s="157"/>
      <c r="AG711" s="157"/>
      <c r="AH711" s="157"/>
      <c r="AI711" s="157"/>
      <c r="AJ711" s="157"/>
      <c r="AK711" s="157"/>
      <c r="AL711" s="157"/>
      <c r="AM711" s="157"/>
      <c r="AN711" s="159"/>
      <c r="AO711" s="159"/>
      <c r="AP711" s="160"/>
      <c r="AQ711" s="160"/>
      <c r="AR711" s="160"/>
      <c r="AS711" s="159"/>
      <c r="AT711" s="159"/>
      <c r="AU711" s="161"/>
      <c r="AV711" s="157"/>
      <c r="AW711" s="157"/>
      <c r="AX711" s="157"/>
      <c r="AY711" s="157"/>
      <c r="AZ711" s="157"/>
      <c r="BA711" s="157"/>
      <c r="BB711" s="157"/>
      <c r="BC711" s="151"/>
      <c r="BD711" s="157"/>
      <c r="BE711" s="157"/>
      <c r="BF711" s="157"/>
      <c r="BG711" s="157"/>
      <c r="BH711" s="157"/>
      <c r="BI711" s="157"/>
      <c r="BJ711" s="353"/>
      <c r="BK711" s="353"/>
      <c r="BL711" s="353"/>
      <c r="BM711" s="14"/>
      <c r="BN711" s="14"/>
      <c r="BO711" s="14"/>
    </row>
    <row r="712" spans="1:67" ht="20.100000000000001" customHeight="1">
      <c r="A712" s="157"/>
      <c r="B712" s="1"/>
      <c r="C712" s="157"/>
      <c r="D712" s="1"/>
      <c r="E712" s="150"/>
      <c r="F712" s="150"/>
      <c r="G712" s="151"/>
      <c r="H712" s="150"/>
      <c r="I712" s="150"/>
      <c r="J712" s="151"/>
      <c r="K712" s="151"/>
      <c r="L712" s="150"/>
      <c r="M712" s="151"/>
      <c r="N712" s="151"/>
      <c r="O712" s="151"/>
      <c r="P712" s="150"/>
      <c r="Q712" s="150"/>
      <c r="R712" s="158"/>
      <c r="S712" s="158"/>
      <c r="T712" s="158"/>
      <c r="U712" s="158"/>
      <c r="V712" s="1"/>
      <c r="W712" s="1"/>
      <c r="X712" s="157"/>
      <c r="Y712" s="157"/>
      <c r="Z712" s="157"/>
      <c r="AA712" s="157"/>
      <c r="AB712" s="157"/>
      <c r="AC712" s="151"/>
      <c r="AD712" s="151"/>
      <c r="AE712" s="151"/>
      <c r="AF712" s="157"/>
      <c r="AG712" s="157"/>
      <c r="AH712" s="157"/>
      <c r="AI712" s="157"/>
      <c r="AJ712" s="157"/>
      <c r="AK712" s="157"/>
      <c r="AL712" s="157"/>
      <c r="AM712" s="157"/>
      <c r="AN712" s="159"/>
      <c r="AO712" s="159"/>
      <c r="AP712" s="160"/>
      <c r="AQ712" s="160"/>
      <c r="AR712" s="160"/>
      <c r="AS712" s="159"/>
      <c r="AT712" s="159"/>
      <c r="AU712" s="161"/>
      <c r="AV712" s="157"/>
      <c r="AW712" s="157"/>
      <c r="AX712" s="157"/>
      <c r="AY712" s="157"/>
      <c r="AZ712" s="157"/>
      <c r="BA712" s="157"/>
      <c r="BB712" s="157"/>
      <c r="BC712" s="151"/>
      <c r="BD712" s="157"/>
      <c r="BE712" s="157"/>
      <c r="BF712" s="157"/>
      <c r="BG712" s="157"/>
      <c r="BH712" s="157"/>
      <c r="BI712" s="157"/>
      <c r="BJ712" s="353"/>
      <c r="BK712" s="353"/>
      <c r="BL712" s="353"/>
      <c r="BM712" s="14"/>
      <c r="BN712" s="14"/>
      <c r="BO712" s="14"/>
    </row>
    <row r="713" spans="1:67" ht="20.100000000000001" customHeight="1">
      <c r="A713" s="157"/>
      <c r="B713" s="1"/>
      <c r="C713" s="157"/>
      <c r="D713" s="1"/>
      <c r="E713" s="150"/>
      <c r="F713" s="150"/>
      <c r="G713" s="151"/>
      <c r="H713" s="150"/>
      <c r="I713" s="150"/>
      <c r="J713" s="151"/>
      <c r="K713" s="151"/>
      <c r="L713" s="150"/>
      <c r="M713" s="151"/>
      <c r="N713" s="151"/>
      <c r="O713" s="151"/>
      <c r="P713" s="150"/>
      <c r="Q713" s="150"/>
      <c r="R713" s="158"/>
      <c r="S713" s="158"/>
      <c r="T713" s="158"/>
      <c r="U713" s="158"/>
      <c r="V713" s="1"/>
      <c r="W713" s="1"/>
      <c r="X713" s="157"/>
      <c r="Y713" s="157"/>
      <c r="Z713" s="157"/>
      <c r="AA713" s="157"/>
      <c r="AB713" s="157"/>
      <c r="AC713" s="151"/>
      <c r="AD713" s="151"/>
      <c r="AE713" s="151"/>
      <c r="AF713" s="157"/>
      <c r="AG713" s="157"/>
      <c r="AH713" s="157"/>
      <c r="AI713" s="157"/>
      <c r="AJ713" s="157"/>
      <c r="AK713" s="157"/>
      <c r="AL713" s="157"/>
      <c r="AM713" s="157"/>
      <c r="AN713" s="159"/>
      <c r="AO713" s="159"/>
      <c r="AP713" s="160"/>
      <c r="AQ713" s="160"/>
      <c r="AR713" s="160"/>
      <c r="AS713" s="159"/>
      <c r="AT713" s="159"/>
      <c r="AU713" s="161"/>
      <c r="AV713" s="157"/>
      <c r="AW713" s="157"/>
      <c r="AX713" s="157"/>
      <c r="AY713" s="157"/>
      <c r="AZ713" s="157"/>
      <c r="BA713" s="157"/>
      <c r="BB713" s="157"/>
      <c r="BC713" s="151"/>
      <c r="BD713" s="157"/>
      <c r="BE713" s="157"/>
      <c r="BF713" s="157"/>
      <c r="BG713" s="157"/>
      <c r="BH713" s="157"/>
      <c r="BI713" s="157"/>
      <c r="BJ713" s="353"/>
      <c r="BK713" s="353"/>
      <c r="BL713" s="353"/>
      <c r="BM713" s="14"/>
      <c r="BN713" s="14"/>
      <c r="BO713" s="14"/>
    </row>
    <row r="714" spans="1:67" ht="20.100000000000001" customHeight="1">
      <c r="A714" s="157"/>
      <c r="B714" s="1"/>
      <c r="C714" s="157"/>
      <c r="D714" s="1"/>
      <c r="E714" s="150"/>
      <c r="F714" s="150"/>
      <c r="G714" s="151"/>
      <c r="H714" s="150"/>
      <c r="I714" s="150"/>
      <c r="J714" s="151"/>
      <c r="K714" s="151"/>
      <c r="L714" s="150"/>
      <c r="M714" s="151"/>
      <c r="N714" s="151"/>
      <c r="O714" s="151"/>
      <c r="P714" s="150"/>
      <c r="Q714" s="150"/>
      <c r="R714" s="158"/>
      <c r="S714" s="158"/>
      <c r="T714" s="158"/>
      <c r="U714" s="158"/>
      <c r="V714" s="1"/>
      <c r="W714" s="1"/>
      <c r="X714" s="157"/>
      <c r="Y714" s="157"/>
      <c r="Z714" s="157"/>
      <c r="AA714" s="157"/>
      <c r="AB714" s="157"/>
      <c r="AC714" s="151"/>
      <c r="AD714" s="151"/>
      <c r="AE714" s="151"/>
      <c r="AF714" s="157"/>
      <c r="AG714" s="157"/>
      <c r="AH714" s="157"/>
      <c r="AI714" s="157"/>
      <c r="AJ714" s="157"/>
      <c r="AK714" s="157"/>
      <c r="AL714" s="157"/>
      <c r="AM714" s="157"/>
      <c r="AN714" s="159"/>
      <c r="AO714" s="159"/>
      <c r="AP714" s="160"/>
      <c r="AQ714" s="160"/>
      <c r="AR714" s="160"/>
      <c r="AS714" s="159"/>
      <c r="AT714" s="159"/>
      <c r="AU714" s="161"/>
      <c r="AV714" s="157"/>
      <c r="AW714" s="157"/>
      <c r="AX714" s="157"/>
      <c r="AY714" s="157"/>
      <c r="AZ714" s="157"/>
      <c r="BA714" s="157"/>
      <c r="BB714" s="157"/>
      <c r="BC714" s="151"/>
      <c r="BD714" s="157"/>
      <c r="BE714" s="157"/>
      <c r="BF714" s="157"/>
      <c r="BG714" s="157"/>
      <c r="BH714" s="157"/>
      <c r="BI714" s="157"/>
      <c r="BJ714" s="353"/>
      <c r="BK714" s="353"/>
      <c r="BL714" s="353"/>
      <c r="BM714" s="14"/>
      <c r="BN714" s="14"/>
      <c r="BO714" s="14"/>
    </row>
    <row r="715" spans="1:67" ht="20.100000000000001" customHeight="1">
      <c r="A715" s="157"/>
      <c r="B715" s="1"/>
      <c r="C715" s="157"/>
      <c r="D715" s="1"/>
      <c r="E715" s="150"/>
      <c r="F715" s="150"/>
      <c r="G715" s="151"/>
      <c r="H715" s="150"/>
      <c r="I715" s="150"/>
      <c r="J715" s="151"/>
      <c r="K715" s="151"/>
      <c r="L715" s="150"/>
      <c r="M715" s="151"/>
      <c r="N715" s="151"/>
      <c r="O715" s="151"/>
      <c r="P715" s="150"/>
      <c r="Q715" s="150"/>
      <c r="R715" s="158"/>
      <c r="S715" s="158"/>
      <c r="T715" s="158"/>
      <c r="U715" s="158"/>
      <c r="V715" s="1"/>
      <c r="W715" s="1"/>
      <c r="X715" s="157"/>
      <c r="Y715" s="157"/>
      <c r="Z715" s="157"/>
      <c r="AA715" s="157"/>
      <c r="AB715" s="157"/>
      <c r="AC715" s="151"/>
      <c r="AD715" s="151"/>
      <c r="AE715" s="151"/>
      <c r="AF715" s="157"/>
      <c r="AG715" s="157"/>
      <c r="AH715" s="157"/>
      <c r="AI715" s="157"/>
      <c r="AJ715" s="157"/>
      <c r="AK715" s="157"/>
      <c r="AL715" s="157"/>
      <c r="AM715" s="157"/>
      <c r="AN715" s="159"/>
      <c r="AO715" s="159"/>
      <c r="AP715" s="160"/>
      <c r="AQ715" s="160"/>
      <c r="AR715" s="160"/>
      <c r="AS715" s="159"/>
      <c r="AT715" s="159"/>
      <c r="AU715" s="161"/>
      <c r="AV715" s="157"/>
      <c r="AW715" s="157"/>
      <c r="AX715" s="157"/>
      <c r="AY715" s="157"/>
      <c r="AZ715" s="157"/>
      <c r="BA715" s="157"/>
      <c r="BB715" s="157"/>
      <c r="BC715" s="151"/>
      <c r="BD715" s="157"/>
      <c r="BE715" s="157"/>
      <c r="BF715" s="157"/>
      <c r="BG715" s="157"/>
      <c r="BH715" s="157"/>
      <c r="BI715" s="157"/>
      <c r="BJ715" s="353"/>
      <c r="BK715" s="353"/>
      <c r="BL715" s="353"/>
      <c r="BM715" s="14"/>
      <c r="BN715" s="14"/>
      <c r="BO715" s="14"/>
    </row>
    <row r="716" spans="1:67" ht="20.100000000000001" customHeight="1">
      <c r="A716" s="157"/>
      <c r="B716" s="1"/>
      <c r="C716" s="157"/>
      <c r="D716" s="1"/>
      <c r="E716" s="150"/>
      <c r="F716" s="150"/>
      <c r="G716" s="151"/>
      <c r="H716" s="150"/>
      <c r="I716" s="150"/>
      <c r="J716" s="151"/>
      <c r="K716" s="151"/>
      <c r="L716" s="150"/>
      <c r="M716" s="151"/>
      <c r="N716" s="151"/>
      <c r="O716" s="151"/>
      <c r="P716" s="150"/>
      <c r="Q716" s="150"/>
      <c r="R716" s="158"/>
      <c r="S716" s="158"/>
      <c r="T716" s="158"/>
      <c r="U716" s="158"/>
      <c r="V716" s="1"/>
      <c r="W716" s="1"/>
      <c r="X716" s="157"/>
      <c r="Y716" s="157"/>
      <c r="Z716" s="157"/>
      <c r="AA716" s="157"/>
      <c r="AB716" s="157"/>
      <c r="AC716" s="151"/>
      <c r="AD716" s="151"/>
      <c r="AE716" s="151"/>
      <c r="AF716" s="157"/>
      <c r="AG716" s="157"/>
      <c r="AH716" s="157"/>
      <c r="AI716" s="157"/>
      <c r="AJ716" s="157"/>
      <c r="AK716" s="157"/>
      <c r="AL716" s="157"/>
      <c r="AM716" s="157"/>
      <c r="AN716" s="159"/>
      <c r="AO716" s="159"/>
      <c r="AP716" s="160"/>
      <c r="AQ716" s="160"/>
      <c r="AR716" s="160"/>
      <c r="AS716" s="159"/>
      <c r="AT716" s="159"/>
      <c r="AU716" s="161"/>
      <c r="AV716" s="157"/>
      <c r="AW716" s="157"/>
      <c r="AX716" s="157"/>
      <c r="AY716" s="157"/>
      <c r="AZ716" s="157"/>
      <c r="BA716" s="157"/>
      <c r="BB716" s="157"/>
      <c r="BC716" s="151"/>
      <c r="BD716" s="157"/>
      <c r="BE716" s="157"/>
      <c r="BF716" s="157"/>
      <c r="BG716" s="157"/>
      <c r="BH716" s="157"/>
      <c r="BI716" s="157"/>
      <c r="BJ716" s="353"/>
      <c r="BK716" s="353"/>
      <c r="BL716" s="353"/>
      <c r="BM716" s="14"/>
      <c r="BN716" s="14"/>
      <c r="BO716" s="14"/>
    </row>
    <row r="717" spans="1:67" ht="20.100000000000001" customHeight="1">
      <c r="A717" s="157"/>
      <c r="B717" s="1"/>
      <c r="C717" s="157"/>
      <c r="D717" s="1"/>
      <c r="E717" s="150"/>
      <c r="F717" s="150"/>
      <c r="G717" s="151"/>
      <c r="H717" s="150"/>
      <c r="I717" s="150"/>
      <c r="J717" s="151"/>
      <c r="K717" s="151"/>
      <c r="L717" s="150"/>
      <c r="M717" s="151"/>
      <c r="N717" s="151"/>
      <c r="O717" s="151"/>
      <c r="P717" s="150"/>
      <c r="Q717" s="150"/>
      <c r="R717" s="158"/>
      <c r="S717" s="158"/>
      <c r="T717" s="158"/>
      <c r="U717" s="158"/>
      <c r="V717" s="1"/>
      <c r="W717" s="1"/>
      <c r="X717" s="157"/>
      <c r="Y717" s="157"/>
      <c r="Z717" s="157"/>
      <c r="AA717" s="157"/>
      <c r="AB717" s="157"/>
      <c r="AC717" s="151"/>
      <c r="AD717" s="151"/>
      <c r="AE717" s="151"/>
      <c r="AF717" s="157"/>
      <c r="AG717" s="157"/>
      <c r="AH717" s="157"/>
      <c r="AI717" s="157"/>
      <c r="AJ717" s="157"/>
      <c r="AK717" s="157"/>
      <c r="AL717" s="157"/>
      <c r="AM717" s="157"/>
      <c r="AN717" s="159"/>
      <c r="AO717" s="159"/>
      <c r="AP717" s="160"/>
      <c r="AQ717" s="160"/>
      <c r="AR717" s="160"/>
      <c r="AS717" s="159"/>
      <c r="AT717" s="159"/>
      <c r="AU717" s="161"/>
      <c r="AV717" s="157"/>
      <c r="AW717" s="157"/>
      <c r="AX717" s="157"/>
      <c r="AY717" s="157"/>
      <c r="AZ717" s="157"/>
      <c r="BA717" s="157"/>
      <c r="BB717" s="157"/>
      <c r="BC717" s="151"/>
      <c r="BD717" s="157"/>
      <c r="BE717" s="157"/>
      <c r="BF717" s="157"/>
      <c r="BG717" s="157"/>
      <c r="BH717" s="157"/>
      <c r="BI717" s="157"/>
      <c r="BJ717" s="353"/>
      <c r="BK717" s="353"/>
      <c r="BL717" s="353"/>
      <c r="BM717" s="14"/>
      <c r="BN717" s="14"/>
      <c r="BO717" s="14"/>
    </row>
    <row r="718" spans="1:67" ht="20.100000000000001" customHeight="1">
      <c r="A718" s="157"/>
      <c r="B718" s="1"/>
      <c r="C718" s="157"/>
      <c r="D718" s="1"/>
      <c r="E718" s="150"/>
      <c r="F718" s="150"/>
      <c r="G718" s="151"/>
      <c r="H718" s="150"/>
      <c r="I718" s="150"/>
      <c r="J718" s="151"/>
      <c r="K718" s="151"/>
      <c r="L718" s="150"/>
      <c r="M718" s="151"/>
      <c r="N718" s="151"/>
      <c r="O718" s="151"/>
      <c r="P718" s="150"/>
      <c r="Q718" s="150"/>
      <c r="R718" s="158"/>
      <c r="S718" s="158"/>
      <c r="T718" s="158"/>
      <c r="U718" s="158"/>
      <c r="V718" s="1"/>
      <c r="W718" s="1"/>
      <c r="X718" s="157"/>
      <c r="Y718" s="157"/>
      <c r="Z718" s="157"/>
      <c r="AA718" s="157"/>
      <c r="AB718" s="157"/>
      <c r="AC718" s="151"/>
      <c r="AD718" s="151"/>
      <c r="AE718" s="151"/>
      <c r="AF718" s="157"/>
      <c r="AG718" s="157"/>
      <c r="AH718" s="157"/>
      <c r="AI718" s="157"/>
      <c r="AJ718" s="157"/>
      <c r="AK718" s="157"/>
      <c r="AL718" s="157"/>
      <c r="AM718" s="157"/>
      <c r="AN718" s="159"/>
      <c r="AO718" s="159"/>
      <c r="AP718" s="160"/>
      <c r="AQ718" s="160"/>
      <c r="AR718" s="160"/>
      <c r="AS718" s="159"/>
      <c r="AT718" s="159"/>
      <c r="AU718" s="161"/>
      <c r="AV718" s="157"/>
      <c r="AW718" s="157"/>
      <c r="AX718" s="157"/>
      <c r="AY718" s="157"/>
      <c r="AZ718" s="157"/>
      <c r="BA718" s="157"/>
      <c r="BB718" s="157"/>
      <c r="BC718" s="151"/>
      <c r="BD718" s="157"/>
      <c r="BE718" s="157"/>
      <c r="BF718" s="157"/>
      <c r="BG718" s="157"/>
      <c r="BH718" s="157"/>
      <c r="BI718" s="157"/>
      <c r="BJ718" s="353"/>
      <c r="BK718" s="353"/>
      <c r="BL718" s="353"/>
      <c r="BM718" s="14"/>
      <c r="BN718" s="14"/>
      <c r="BO718" s="14"/>
    </row>
    <row r="719" spans="1:67" ht="20.100000000000001" customHeight="1">
      <c r="A719" s="157"/>
      <c r="B719" s="1"/>
      <c r="C719" s="157"/>
      <c r="D719" s="1"/>
      <c r="E719" s="150"/>
      <c r="F719" s="150"/>
      <c r="G719" s="151"/>
      <c r="H719" s="150"/>
      <c r="I719" s="150"/>
      <c r="J719" s="151"/>
      <c r="K719" s="151"/>
      <c r="L719" s="150"/>
      <c r="M719" s="151"/>
      <c r="N719" s="151"/>
      <c r="O719" s="151"/>
      <c r="P719" s="150"/>
      <c r="Q719" s="150"/>
      <c r="R719" s="158"/>
      <c r="S719" s="158"/>
      <c r="T719" s="158"/>
      <c r="U719" s="158"/>
      <c r="V719" s="1"/>
      <c r="W719" s="1"/>
      <c r="X719" s="157"/>
      <c r="Y719" s="157"/>
      <c r="Z719" s="157"/>
      <c r="AA719" s="157"/>
      <c r="AB719" s="157"/>
      <c r="AC719" s="151"/>
      <c r="AD719" s="151"/>
      <c r="AE719" s="151"/>
      <c r="AF719" s="157"/>
      <c r="AG719" s="157"/>
      <c r="AH719" s="157"/>
      <c r="AI719" s="157"/>
      <c r="AJ719" s="157"/>
      <c r="AK719" s="157"/>
      <c r="AL719" s="157"/>
      <c r="AM719" s="157"/>
      <c r="AN719" s="159"/>
      <c r="AO719" s="159"/>
      <c r="AP719" s="160"/>
      <c r="AQ719" s="160"/>
      <c r="AR719" s="160"/>
      <c r="AS719" s="159"/>
      <c r="AT719" s="159"/>
      <c r="AU719" s="161"/>
      <c r="AV719" s="157"/>
      <c r="AW719" s="157"/>
      <c r="AX719" s="157"/>
      <c r="AY719" s="157"/>
      <c r="AZ719" s="157"/>
      <c r="BA719" s="157"/>
      <c r="BB719" s="157"/>
      <c r="BC719" s="151"/>
      <c r="BD719" s="157"/>
      <c r="BE719" s="157"/>
      <c r="BF719" s="157"/>
      <c r="BG719" s="157"/>
      <c r="BH719" s="157"/>
      <c r="BI719" s="157"/>
      <c r="BJ719" s="353"/>
      <c r="BK719" s="353"/>
      <c r="BL719" s="353"/>
      <c r="BM719" s="14"/>
      <c r="BN719" s="14"/>
      <c r="BO719" s="14"/>
    </row>
    <row r="720" spans="1:67" ht="20.100000000000001" customHeight="1">
      <c r="A720" s="157"/>
      <c r="B720" s="1"/>
      <c r="C720" s="157"/>
      <c r="D720" s="1"/>
      <c r="E720" s="150"/>
      <c r="F720" s="150"/>
      <c r="G720" s="151"/>
      <c r="H720" s="150"/>
      <c r="I720" s="150"/>
      <c r="J720" s="151"/>
      <c r="K720" s="151"/>
      <c r="L720" s="150"/>
      <c r="M720" s="151"/>
      <c r="N720" s="151"/>
      <c r="O720" s="151"/>
      <c r="P720" s="150"/>
      <c r="Q720" s="150"/>
      <c r="R720" s="158"/>
      <c r="S720" s="158"/>
      <c r="T720" s="158"/>
      <c r="U720" s="158"/>
      <c r="V720" s="1"/>
      <c r="W720" s="1"/>
      <c r="X720" s="157"/>
      <c r="Y720" s="157"/>
      <c r="Z720" s="157"/>
      <c r="AA720" s="157"/>
      <c r="AB720" s="157"/>
      <c r="AC720" s="151"/>
      <c r="AD720" s="151"/>
      <c r="AE720" s="151"/>
      <c r="AF720" s="157"/>
      <c r="AG720" s="157"/>
      <c r="AH720" s="157"/>
      <c r="AI720" s="157"/>
      <c r="AJ720" s="157"/>
      <c r="AK720" s="157"/>
      <c r="AL720" s="157"/>
      <c r="AM720" s="157"/>
      <c r="AN720" s="159"/>
      <c r="AO720" s="159"/>
      <c r="AP720" s="160"/>
      <c r="AQ720" s="160"/>
      <c r="AR720" s="160"/>
      <c r="AS720" s="159"/>
      <c r="AT720" s="159"/>
      <c r="AU720" s="161"/>
      <c r="AV720" s="157"/>
      <c r="AW720" s="157"/>
      <c r="AX720" s="157"/>
      <c r="AY720" s="157"/>
      <c r="AZ720" s="157"/>
      <c r="BA720" s="157"/>
      <c r="BB720" s="157"/>
      <c r="BC720" s="151"/>
      <c r="BD720" s="157"/>
      <c r="BE720" s="157"/>
      <c r="BF720" s="157"/>
      <c r="BG720" s="157"/>
      <c r="BH720" s="157"/>
      <c r="BI720" s="157"/>
      <c r="BJ720" s="353"/>
      <c r="BK720" s="353"/>
      <c r="BL720" s="353"/>
      <c r="BM720" s="14"/>
      <c r="BN720" s="14"/>
      <c r="BO720" s="14"/>
    </row>
    <row r="721" spans="1:67" ht="20.100000000000001" customHeight="1">
      <c r="A721" s="157"/>
      <c r="B721" s="1"/>
      <c r="C721" s="157"/>
      <c r="D721" s="1"/>
      <c r="E721" s="150"/>
      <c r="F721" s="150"/>
      <c r="G721" s="151"/>
      <c r="H721" s="150"/>
      <c r="I721" s="150"/>
      <c r="J721" s="151"/>
      <c r="K721" s="151"/>
      <c r="L721" s="150"/>
      <c r="M721" s="151"/>
      <c r="N721" s="151"/>
      <c r="O721" s="151"/>
      <c r="P721" s="150"/>
      <c r="Q721" s="150"/>
      <c r="R721" s="158"/>
      <c r="S721" s="158"/>
      <c r="T721" s="158"/>
      <c r="U721" s="158"/>
      <c r="V721" s="1"/>
      <c r="W721" s="1"/>
      <c r="X721" s="157"/>
      <c r="Y721" s="157"/>
      <c r="Z721" s="157"/>
      <c r="AA721" s="157"/>
      <c r="AB721" s="157"/>
      <c r="AC721" s="151"/>
      <c r="AD721" s="151"/>
      <c r="AE721" s="151"/>
      <c r="AF721" s="157"/>
      <c r="AG721" s="157"/>
      <c r="AH721" s="157"/>
      <c r="AI721" s="157"/>
      <c r="AJ721" s="157"/>
      <c r="AK721" s="157"/>
      <c r="AL721" s="157"/>
      <c r="AM721" s="157"/>
      <c r="AN721" s="159"/>
      <c r="AO721" s="159"/>
      <c r="AP721" s="160"/>
      <c r="AQ721" s="160"/>
      <c r="AR721" s="160"/>
      <c r="AS721" s="159"/>
      <c r="AT721" s="159"/>
      <c r="AU721" s="161"/>
      <c r="AV721" s="157"/>
      <c r="AW721" s="157"/>
      <c r="AX721" s="157"/>
      <c r="AY721" s="157"/>
      <c r="AZ721" s="157"/>
      <c r="BA721" s="157"/>
      <c r="BB721" s="157"/>
      <c r="BC721" s="151"/>
      <c r="BD721" s="157"/>
      <c r="BE721" s="157"/>
      <c r="BF721" s="157"/>
      <c r="BG721" s="157"/>
      <c r="BH721" s="157"/>
      <c r="BI721" s="157"/>
      <c r="BJ721" s="353"/>
      <c r="BK721" s="353"/>
      <c r="BL721" s="353"/>
      <c r="BM721" s="14"/>
      <c r="BN721" s="14"/>
      <c r="BO721" s="14"/>
    </row>
    <row r="722" spans="1:67" ht="20.100000000000001" customHeight="1">
      <c r="A722" s="157"/>
      <c r="B722" s="1"/>
      <c r="C722" s="157"/>
      <c r="D722" s="1"/>
      <c r="E722" s="150"/>
      <c r="F722" s="150"/>
      <c r="G722" s="151"/>
      <c r="H722" s="150"/>
      <c r="I722" s="150"/>
      <c r="J722" s="151"/>
      <c r="K722" s="151"/>
      <c r="L722" s="150"/>
      <c r="M722" s="151"/>
      <c r="N722" s="151"/>
      <c r="O722" s="151"/>
      <c r="P722" s="150"/>
      <c r="Q722" s="150"/>
      <c r="R722" s="158"/>
      <c r="S722" s="158"/>
      <c r="T722" s="158"/>
      <c r="U722" s="158"/>
      <c r="V722" s="1"/>
      <c r="W722" s="1"/>
      <c r="X722" s="157"/>
      <c r="Y722" s="157"/>
      <c r="Z722" s="157"/>
      <c r="AA722" s="157"/>
      <c r="AB722" s="157"/>
      <c r="AC722" s="151"/>
      <c r="AD722" s="151"/>
      <c r="AE722" s="151"/>
      <c r="AF722" s="157"/>
      <c r="AG722" s="157"/>
      <c r="AH722" s="157"/>
      <c r="AI722" s="157"/>
      <c r="AJ722" s="157"/>
      <c r="AK722" s="157"/>
      <c r="AL722" s="157"/>
      <c r="AM722" s="157"/>
      <c r="AN722" s="159"/>
      <c r="AO722" s="159"/>
      <c r="AP722" s="160"/>
      <c r="AQ722" s="160"/>
      <c r="AR722" s="160"/>
      <c r="AS722" s="159"/>
      <c r="AT722" s="159"/>
      <c r="AU722" s="161"/>
      <c r="AV722" s="157"/>
      <c r="AW722" s="157"/>
      <c r="AX722" s="157"/>
      <c r="AY722" s="157"/>
      <c r="AZ722" s="157"/>
      <c r="BA722" s="157"/>
      <c r="BB722" s="157"/>
      <c r="BC722" s="151"/>
      <c r="BD722" s="157"/>
      <c r="BE722" s="157"/>
      <c r="BF722" s="157"/>
      <c r="BG722" s="157"/>
      <c r="BH722" s="157"/>
      <c r="BI722" s="157"/>
      <c r="BJ722" s="353"/>
      <c r="BK722" s="353"/>
      <c r="BL722" s="353"/>
      <c r="BM722" s="14"/>
      <c r="BN722" s="14"/>
      <c r="BO722" s="14"/>
    </row>
    <row r="723" spans="1:67" ht="20.100000000000001" customHeight="1">
      <c r="A723" s="157"/>
      <c r="B723" s="1"/>
      <c r="C723" s="157"/>
      <c r="D723" s="1"/>
      <c r="E723" s="150"/>
      <c r="F723" s="150"/>
      <c r="G723" s="151"/>
      <c r="H723" s="150"/>
      <c r="I723" s="150"/>
      <c r="J723" s="151"/>
      <c r="K723" s="151"/>
      <c r="L723" s="150"/>
      <c r="M723" s="151"/>
      <c r="N723" s="151"/>
      <c r="O723" s="151"/>
      <c r="P723" s="150"/>
      <c r="Q723" s="150"/>
      <c r="R723" s="158"/>
      <c r="S723" s="158"/>
      <c r="T723" s="158"/>
      <c r="U723" s="158"/>
      <c r="V723" s="1"/>
      <c r="W723" s="1"/>
      <c r="X723" s="157"/>
      <c r="Y723" s="157"/>
      <c r="Z723" s="157"/>
      <c r="AA723" s="157"/>
      <c r="AB723" s="157"/>
      <c r="AC723" s="151"/>
      <c r="AD723" s="151"/>
      <c r="AE723" s="151"/>
      <c r="AF723" s="157"/>
      <c r="AG723" s="157"/>
      <c r="AH723" s="157"/>
      <c r="AI723" s="157"/>
      <c r="AJ723" s="157"/>
      <c r="AK723" s="157"/>
      <c r="AL723" s="157"/>
      <c r="AM723" s="157"/>
      <c r="AN723" s="159"/>
      <c r="AO723" s="159"/>
      <c r="AP723" s="160"/>
      <c r="AQ723" s="160"/>
      <c r="AR723" s="160"/>
      <c r="AS723" s="159"/>
      <c r="AT723" s="159"/>
      <c r="AU723" s="161"/>
      <c r="AV723" s="157"/>
      <c r="AW723" s="157"/>
      <c r="AX723" s="157"/>
      <c r="AY723" s="157"/>
      <c r="AZ723" s="157"/>
      <c r="BA723" s="157"/>
      <c r="BB723" s="157"/>
      <c r="BC723" s="151"/>
      <c r="BD723" s="157"/>
      <c r="BE723" s="157"/>
      <c r="BF723" s="157"/>
      <c r="BG723" s="157"/>
      <c r="BH723" s="157"/>
      <c r="BI723" s="157"/>
      <c r="BJ723" s="353"/>
      <c r="BK723" s="353"/>
      <c r="BL723" s="353"/>
      <c r="BM723" s="14"/>
      <c r="BN723" s="14"/>
      <c r="BO723" s="14"/>
    </row>
    <row r="724" spans="1:67" ht="20.100000000000001" customHeight="1">
      <c r="A724" s="157"/>
      <c r="B724" s="1"/>
      <c r="C724" s="157"/>
      <c r="D724" s="1"/>
      <c r="E724" s="150"/>
      <c r="F724" s="150"/>
      <c r="G724" s="151"/>
      <c r="H724" s="150"/>
      <c r="I724" s="150"/>
      <c r="J724" s="151"/>
      <c r="K724" s="151"/>
      <c r="L724" s="150"/>
      <c r="M724" s="151"/>
      <c r="N724" s="151"/>
      <c r="O724" s="151"/>
      <c r="P724" s="150"/>
      <c r="Q724" s="150"/>
      <c r="R724" s="158"/>
      <c r="S724" s="158"/>
      <c r="T724" s="158"/>
      <c r="U724" s="158"/>
      <c r="V724" s="1"/>
      <c r="W724" s="1"/>
      <c r="X724" s="157"/>
      <c r="Y724" s="157"/>
      <c r="Z724" s="157"/>
      <c r="AA724" s="157"/>
      <c r="AB724" s="157"/>
      <c r="AC724" s="151"/>
      <c r="AD724" s="151"/>
      <c r="AE724" s="151"/>
      <c r="AF724" s="157"/>
      <c r="AG724" s="157"/>
      <c r="AH724" s="157"/>
      <c r="AI724" s="157"/>
      <c r="AJ724" s="157"/>
      <c r="AK724" s="157"/>
      <c r="AL724" s="157"/>
      <c r="AM724" s="157"/>
      <c r="AN724" s="159"/>
      <c r="AO724" s="159"/>
      <c r="AP724" s="160"/>
      <c r="AQ724" s="160"/>
      <c r="AR724" s="160"/>
      <c r="AS724" s="159"/>
      <c r="AT724" s="159"/>
      <c r="AU724" s="161"/>
      <c r="AV724" s="157"/>
      <c r="AW724" s="157"/>
      <c r="AX724" s="157"/>
      <c r="AY724" s="157"/>
      <c r="AZ724" s="157"/>
      <c r="BA724" s="157"/>
      <c r="BB724" s="157"/>
      <c r="BC724" s="151"/>
      <c r="BD724" s="157"/>
      <c r="BE724" s="157"/>
      <c r="BF724" s="157"/>
      <c r="BG724" s="157"/>
      <c r="BH724" s="157"/>
      <c r="BI724" s="157"/>
      <c r="BJ724" s="353"/>
      <c r="BK724" s="353"/>
      <c r="BL724" s="353"/>
      <c r="BM724" s="14"/>
      <c r="BN724" s="14"/>
      <c r="BO724" s="14"/>
    </row>
    <row r="725" spans="1:67" ht="20.100000000000001" customHeight="1">
      <c r="A725" s="157"/>
      <c r="B725" s="1"/>
      <c r="C725" s="157"/>
      <c r="D725" s="1"/>
      <c r="E725" s="150"/>
      <c r="F725" s="150"/>
      <c r="G725" s="151"/>
      <c r="H725" s="150"/>
      <c r="I725" s="150"/>
      <c r="J725" s="151"/>
      <c r="K725" s="151"/>
      <c r="L725" s="150"/>
      <c r="M725" s="151"/>
      <c r="N725" s="151"/>
      <c r="O725" s="151"/>
      <c r="P725" s="150"/>
      <c r="Q725" s="150"/>
      <c r="R725" s="158"/>
      <c r="S725" s="158"/>
      <c r="T725" s="158"/>
      <c r="U725" s="158"/>
      <c r="V725" s="1"/>
      <c r="W725" s="1"/>
      <c r="X725" s="157"/>
      <c r="Y725" s="157"/>
      <c r="Z725" s="157"/>
      <c r="AA725" s="157"/>
      <c r="AB725" s="157"/>
      <c r="AC725" s="151"/>
      <c r="AD725" s="151"/>
      <c r="AE725" s="151"/>
      <c r="AF725" s="157"/>
      <c r="AG725" s="157"/>
      <c r="AH725" s="157"/>
      <c r="AI725" s="157"/>
      <c r="AJ725" s="157"/>
      <c r="AK725" s="157"/>
      <c r="AL725" s="157"/>
      <c r="AM725" s="157"/>
      <c r="AN725" s="159"/>
      <c r="AO725" s="159"/>
      <c r="AP725" s="160"/>
      <c r="AQ725" s="160"/>
      <c r="AR725" s="160"/>
      <c r="AS725" s="159"/>
      <c r="AT725" s="159"/>
      <c r="AU725" s="161"/>
      <c r="AV725" s="157"/>
      <c r="AW725" s="157"/>
      <c r="AX725" s="157"/>
      <c r="AY725" s="157"/>
      <c r="AZ725" s="157"/>
      <c r="BA725" s="157"/>
      <c r="BB725" s="157"/>
      <c r="BC725" s="151"/>
      <c r="BD725" s="157"/>
      <c r="BE725" s="157"/>
      <c r="BF725" s="157"/>
      <c r="BG725" s="157"/>
      <c r="BH725" s="157"/>
      <c r="BI725" s="157"/>
      <c r="BJ725" s="353"/>
      <c r="BK725" s="353"/>
      <c r="BL725" s="353"/>
      <c r="BM725" s="14"/>
      <c r="BN725" s="14"/>
      <c r="BO725" s="14"/>
    </row>
    <row r="726" spans="1:67" ht="20.100000000000001" customHeight="1">
      <c r="A726" s="157"/>
      <c r="B726" s="1"/>
      <c r="C726" s="157"/>
      <c r="D726" s="1"/>
      <c r="E726" s="150"/>
      <c r="F726" s="150"/>
      <c r="G726" s="151"/>
      <c r="H726" s="150"/>
      <c r="I726" s="150"/>
      <c r="J726" s="151"/>
      <c r="K726" s="151"/>
      <c r="L726" s="150"/>
      <c r="M726" s="151"/>
      <c r="N726" s="151"/>
      <c r="O726" s="151"/>
      <c r="P726" s="150"/>
      <c r="Q726" s="150"/>
      <c r="R726" s="158"/>
      <c r="S726" s="158"/>
      <c r="T726" s="158"/>
      <c r="U726" s="158"/>
      <c r="V726" s="1"/>
      <c r="W726" s="1"/>
      <c r="X726" s="157"/>
      <c r="Y726" s="157"/>
      <c r="Z726" s="157"/>
      <c r="AA726" s="157"/>
      <c r="AB726" s="157"/>
      <c r="AC726" s="151"/>
      <c r="AD726" s="151"/>
      <c r="AE726" s="151"/>
      <c r="AF726" s="157"/>
      <c r="AG726" s="157"/>
      <c r="AH726" s="157"/>
      <c r="AI726" s="157"/>
      <c r="AJ726" s="157"/>
      <c r="AK726" s="157"/>
      <c r="AL726" s="157"/>
      <c r="AM726" s="157"/>
      <c r="AN726" s="159"/>
      <c r="AO726" s="159"/>
      <c r="AP726" s="160"/>
      <c r="AQ726" s="160"/>
      <c r="AR726" s="160"/>
      <c r="AS726" s="159"/>
      <c r="AT726" s="159"/>
      <c r="AU726" s="161"/>
      <c r="AV726" s="157"/>
      <c r="AW726" s="157"/>
      <c r="AX726" s="157"/>
      <c r="AY726" s="157"/>
      <c r="AZ726" s="157"/>
      <c r="BA726" s="157"/>
      <c r="BB726" s="157"/>
      <c r="BC726" s="151"/>
      <c r="BD726" s="157"/>
      <c r="BE726" s="157"/>
      <c r="BF726" s="157"/>
      <c r="BG726" s="157"/>
      <c r="BH726" s="157"/>
      <c r="BI726" s="157"/>
      <c r="BJ726" s="353"/>
      <c r="BK726" s="353"/>
      <c r="BL726" s="353"/>
      <c r="BM726" s="14"/>
      <c r="BN726" s="14"/>
      <c r="BO726" s="14"/>
    </row>
    <row r="727" spans="1:67" ht="20.100000000000001" customHeight="1">
      <c r="A727" s="157"/>
      <c r="B727" s="1"/>
      <c r="C727" s="157"/>
      <c r="D727" s="1"/>
      <c r="E727" s="150"/>
      <c r="F727" s="150"/>
      <c r="G727" s="151"/>
      <c r="H727" s="150"/>
      <c r="I727" s="150"/>
      <c r="J727" s="151"/>
      <c r="K727" s="151"/>
      <c r="L727" s="150"/>
      <c r="M727" s="151"/>
      <c r="N727" s="151"/>
      <c r="O727" s="151"/>
      <c r="P727" s="150"/>
      <c r="Q727" s="150"/>
      <c r="R727" s="158"/>
      <c r="S727" s="158"/>
      <c r="T727" s="158"/>
      <c r="U727" s="158"/>
      <c r="V727" s="1"/>
      <c r="W727" s="1"/>
      <c r="X727" s="157"/>
      <c r="Y727" s="157"/>
      <c r="Z727" s="157"/>
      <c r="AA727" s="157"/>
      <c r="AB727" s="157"/>
      <c r="AC727" s="151"/>
      <c r="AD727" s="151"/>
      <c r="AE727" s="151"/>
      <c r="AF727" s="157"/>
      <c r="AG727" s="157"/>
      <c r="AH727" s="157"/>
      <c r="AI727" s="157"/>
      <c r="AJ727" s="157"/>
      <c r="AK727" s="157"/>
      <c r="AL727" s="157"/>
      <c r="AM727" s="157"/>
      <c r="AN727" s="159"/>
      <c r="AO727" s="159"/>
      <c r="AP727" s="160"/>
      <c r="AQ727" s="160"/>
      <c r="AR727" s="160"/>
      <c r="AS727" s="159"/>
      <c r="AT727" s="159"/>
      <c r="AU727" s="161"/>
      <c r="AV727" s="157"/>
      <c r="AW727" s="157"/>
      <c r="AX727" s="157"/>
      <c r="AY727" s="157"/>
      <c r="AZ727" s="157"/>
      <c r="BA727" s="157"/>
      <c r="BB727" s="157"/>
      <c r="BC727" s="151"/>
      <c r="BD727" s="157"/>
      <c r="BE727" s="157"/>
      <c r="BF727" s="157"/>
      <c r="BG727" s="157"/>
      <c r="BH727" s="157"/>
      <c r="BI727" s="157"/>
      <c r="BJ727" s="353"/>
      <c r="BK727" s="353"/>
      <c r="BL727" s="353"/>
      <c r="BM727" s="14"/>
      <c r="BN727" s="14"/>
      <c r="BO727" s="14"/>
    </row>
    <row r="728" spans="1:67" ht="20.100000000000001" customHeight="1">
      <c r="A728" s="157"/>
      <c r="B728" s="1"/>
      <c r="C728" s="157"/>
      <c r="D728" s="1"/>
      <c r="E728" s="150"/>
      <c r="F728" s="150"/>
      <c r="G728" s="151"/>
      <c r="H728" s="150"/>
      <c r="I728" s="150"/>
      <c r="J728" s="151"/>
      <c r="K728" s="151"/>
      <c r="L728" s="150"/>
      <c r="M728" s="151"/>
      <c r="N728" s="151"/>
      <c r="O728" s="151"/>
      <c r="P728" s="150"/>
      <c r="Q728" s="150"/>
      <c r="R728" s="158"/>
      <c r="S728" s="158"/>
      <c r="T728" s="158"/>
      <c r="U728" s="158"/>
      <c r="V728" s="1"/>
      <c r="W728" s="1"/>
      <c r="X728" s="157"/>
      <c r="Y728" s="157"/>
      <c r="Z728" s="157"/>
      <c r="AA728" s="157"/>
      <c r="AB728" s="157"/>
      <c r="AC728" s="151"/>
      <c r="AD728" s="151"/>
      <c r="AE728" s="151"/>
      <c r="AF728" s="157"/>
      <c r="AG728" s="157"/>
      <c r="AH728" s="157"/>
      <c r="AI728" s="157"/>
      <c r="AJ728" s="157"/>
      <c r="AK728" s="157"/>
      <c r="AL728" s="157"/>
      <c r="AM728" s="157"/>
      <c r="AN728" s="159"/>
      <c r="AO728" s="159"/>
      <c r="AP728" s="160"/>
      <c r="AQ728" s="160"/>
      <c r="AR728" s="160"/>
      <c r="AS728" s="159"/>
      <c r="AT728" s="159"/>
      <c r="AU728" s="161"/>
      <c r="AV728" s="157"/>
      <c r="AW728" s="157"/>
      <c r="AX728" s="157"/>
      <c r="AY728" s="157"/>
      <c r="AZ728" s="157"/>
      <c r="BA728" s="157"/>
      <c r="BB728" s="157"/>
      <c r="BC728" s="151"/>
      <c r="BD728" s="157"/>
      <c r="BE728" s="157"/>
      <c r="BF728" s="157"/>
      <c r="BG728" s="157"/>
      <c r="BH728" s="157"/>
      <c r="BI728" s="157"/>
      <c r="BJ728" s="353"/>
      <c r="BK728" s="353"/>
      <c r="BL728" s="353"/>
      <c r="BM728" s="14"/>
      <c r="BN728" s="14"/>
      <c r="BO728" s="14"/>
    </row>
    <row r="729" spans="1:67" ht="20.100000000000001" customHeight="1">
      <c r="A729" s="157"/>
      <c r="B729" s="1"/>
      <c r="C729" s="157"/>
      <c r="D729" s="1"/>
      <c r="E729" s="150"/>
      <c r="F729" s="150"/>
      <c r="G729" s="151"/>
      <c r="H729" s="150"/>
      <c r="I729" s="150"/>
      <c r="J729" s="151"/>
      <c r="K729" s="151"/>
      <c r="L729" s="150"/>
      <c r="M729" s="151"/>
      <c r="N729" s="151"/>
      <c r="O729" s="151"/>
      <c r="P729" s="150"/>
      <c r="Q729" s="150"/>
      <c r="R729" s="158"/>
      <c r="S729" s="158"/>
      <c r="T729" s="158"/>
      <c r="U729" s="158"/>
      <c r="V729" s="1"/>
      <c r="W729" s="1"/>
      <c r="X729" s="157"/>
      <c r="Y729" s="157"/>
      <c r="Z729" s="157"/>
      <c r="AA729" s="157"/>
      <c r="AB729" s="157"/>
      <c r="AC729" s="151"/>
      <c r="AD729" s="151"/>
      <c r="AE729" s="151"/>
      <c r="AF729" s="157"/>
      <c r="AG729" s="157"/>
      <c r="AH729" s="157"/>
      <c r="AI729" s="157"/>
      <c r="AJ729" s="157"/>
      <c r="AK729" s="157"/>
      <c r="AL729" s="157"/>
      <c r="AM729" s="157"/>
      <c r="AN729" s="159"/>
      <c r="AO729" s="159"/>
      <c r="AP729" s="160"/>
      <c r="AQ729" s="160"/>
      <c r="AR729" s="160"/>
      <c r="AS729" s="159"/>
      <c r="AT729" s="159"/>
      <c r="AU729" s="161"/>
      <c r="AV729" s="157"/>
      <c r="AW729" s="157"/>
      <c r="AX729" s="157"/>
      <c r="AY729" s="157"/>
      <c r="AZ729" s="157"/>
      <c r="BA729" s="157"/>
      <c r="BB729" s="157"/>
      <c r="BC729" s="151"/>
      <c r="BD729" s="157"/>
      <c r="BE729" s="157"/>
      <c r="BF729" s="157"/>
      <c r="BG729" s="157"/>
      <c r="BH729" s="157"/>
      <c r="BI729" s="157"/>
      <c r="BJ729" s="353"/>
      <c r="BK729" s="353"/>
      <c r="BL729" s="353"/>
      <c r="BM729" s="14"/>
      <c r="BN729" s="14"/>
      <c r="BO729" s="14"/>
    </row>
    <row r="730" spans="1:67" ht="20.100000000000001" customHeight="1">
      <c r="A730" s="157"/>
      <c r="B730" s="1"/>
      <c r="C730" s="157"/>
      <c r="D730" s="1"/>
      <c r="E730" s="150"/>
      <c r="F730" s="150"/>
      <c r="G730" s="151"/>
      <c r="H730" s="150"/>
      <c r="I730" s="150"/>
      <c r="J730" s="151"/>
      <c r="K730" s="151"/>
      <c r="L730" s="150"/>
      <c r="M730" s="151"/>
      <c r="N730" s="151"/>
      <c r="O730" s="151"/>
      <c r="P730" s="150"/>
      <c r="Q730" s="150"/>
      <c r="R730" s="158"/>
      <c r="S730" s="158"/>
      <c r="T730" s="158"/>
      <c r="U730" s="158"/>
      <c r="V730" s="1"/>
      <c r="W730" s="1"/>
      <c r="X730" s="157"/>
      <c r="Y730" s="157"/>
      <c r="Z730" s="157"/>
      <c r="AA730" s="157"/>
      <c r="AB730" s="157"/>
      <c r="AC730" s="151"/>
      <c r="AD730" s="151"/>
      <c r="AE730" s="151"/>
      <c r="AF730" s="157"/>
      <c r="AG730" s="157"/>
      <c r="AH730" s="157"/>
      <c r="AI730" s="157"/>
      <c r="AJ730" s="157"/>
      <c r="AK730" s="157"/>
      <c r="AL730" s="157"/>
      <c r="AM730" s="157"/>
      <c r="AN730" s="159"/>
      <c r="AO730" s="159"/>
      <c r="AP730" s="160"/>
      <c r="AQ730" s="160"/>
      <c r="AR730" s="160"/>
      <c r="AS730" s="159"/>
      <c r="AT730" s="159"/>
      <c r="AU730" s="161"/>
      <c r="AV730" s="157"/>
      <c r="AW730" s="157"/>
      <c r="AX730" s="157"/>
      <c r="AY730" s="157"/>
      <c r="AZ730" s="157"/>
      <c r="BA730" s="157"/>
      <c r="BB730" s="157"/>
      <c r="BC730" s="151"/>
      <c r="BD730" s="157"/>
      <c r="BE730" s="157"/>
      <c r="BF730" s="157"/>
      <c r="BG730" s="157"/>
      <c r="BH730" s="157"/>
      <c r="BI730" s="157"/>
      <c r="BJ730" s="353"/>
      <c r="BK730" s="353"/>
      <c r="BL730" s="353"/>
      <c r="BM730" s="14"/>
      <c r="BN730" s="14"/>
      <c r="BO730" s="14"/>
    </row>
    <row r="731" spans="1:67" ht="20.100000000000001" customHeight="1">
      <c r="A731" s="157"/>
      <c r="B731" s="1"/>
      <c r="C731" s="157"/>
      <c r="D731" s="1"/>
      <c r="E731" s="150"/>
      <c r="F731" s="150"/>
      <c r="G731" s="151"/>
      <c r="H731" s="150"/>
      <c r="I731" s="150"/>
      <c r="J731" s="151"/>
      <c r="K731" s="151"/>
      <c r="L731" s="150"/>
      <c r="M731" s="151"/>
      <c r="N731" s="151"/>
      <c r="O731" s="151"/>
      <c r="P731" s="150"/>
      <c r="Q731" s="150"/>
      <c r="R731" s="158"/>
      <c r="S731" s="158"/>
      <c r="T731" s="158"/>
      <c r="U731" s="158"/>
      <c r="V731" s="1"/>
      <c r="W731" s="1"/>
      <c r="X731" s="157"/>
      <c r="Y731" s="157"/>
      <c r="Z731" s="157"/>
      <c r="AA731" s="157"/>
      <c r="AB731" s="157"/>
      <c r="AC731" s="151"/>
      <c r="AD731" s="151"/>
      <c r="AE731" s="151"/>
      <c r="AF731" s="157"/>
      <c r="AG731" s="157"/>
      <c r="AH731" s="157"/>
      <c r="AI731" s="157"/>
      <c r="AJ731" s="157"/>
      <c r="AK731" s="157"/>
      <c r="AL731" s="157"/>
      <c r="AM731" s="157"/>
      <c r="AN731" s="159"/>
      <c r="AO731" s="159"/>
      <c r="AP731" s="160"/>
      <c r="AQ731" s="160"/>
      <c r="AR731" s="160"/>
      <c r="AS731" s="159"/>
      <c r="AT731" s="159"/>
      <c r="AU731" s="161"/>
      <c r="AV731" s="157"/>
      <c r="AW731" s="157"/>
      <c r="AX731" s="157"/>
      <c r="AY731" s="157"/>
      <c r="AZ731" s="157"/>
      <c r="BA731" s="157"/>
      <c r="BB731" s="157"/>
      <c r="BC731" s="151"/>
      <c r="BD731" s="157"/>
      <c r="BE731" s="157"/>
      <c r="BF731" s="157"/>
      <c r="BG731" s="157"/>
      <c r="BH731" s="157"/>
      <c r="BI731" s="157"/>
      <c r="BJ731" s="353"/>
      <c r="BK731" s="353"/>
      <c r="BL731" s="353"/>
      <c r="BM731" s="14"/>
      <c r="BN731" s="14"/>
      <c r="BO731" s="14"/>
    </row>
    <row r="732" spans="1:67" ht="20.100000000000001" customHeight="1">
      <c r="A732" s="157"/>
      <c r="B732" s="1"/>
      <c r="C732" s="157"/>
      <c r="D732" s="1"/>
      <c r="E732" s="150"/>
      <c r="F732" s="150"/>
      <c r="G732" s="151"/>
      <c r="H732" s="150"/>
      <c r="I732" s="150"/>
      <c r="J732" s="151"/>
      <c r="K732" s="151"/>
      <c r="L732" s="150"/>
      <c r="M732" s="151"/>
      <c r="N732" s="151"/>
      <c r="O732" s="151"/>
      <c r="P732" s="150"/>
      <c r="Q732" s="150"/>
      <c r="R732" s="158"/>
      <c r="S732" s="158"/>
      <c r="T732" s="158"/>
      <c r="U732" s="158"/>
      <c r="V732" s="1"/>
      <c r="W732" s="1"/>
      <c r="X732" s="157"/>
      <c r="Y732" s="157"/>
      <c r="Z732" s="157"/>
      <c r="AA732" s="157"/>
      <c r="AB732" s="157"/>
      <c r="AC732" s="151"/>
      <c r="AD732" s="151"/>
      <c r="AE732" s="151"/>
      <c r="AF732" s="157"/>
      <c r="AG732" s="157"/>
      <c r="AH732" s="157"/>
      <c r="AI732" s="157"/>
      <c r="AJ732" s="157"/>
      <c r="AK732" s="157"/>
      <c r="AL732" s="157"/>
      <c r="AM732" s="157"/>
      <c r="AN732" s="159"/>
      <c r="AO732" s="159"/>
      <c r="AP732" s="160"/>
      <c r="AQ732" s="160"/>
      <c r="AR732" s="160"/>
      <c r="AS732" s="159"/>
      <c r="AT732" s="159"/>
      <c r="AU732" s="161"/>
      <c r="AV732" s="157"/>
      <c r="AW732" s="157"/>
      <c r="AX732" s="157"/>
      <c r="AY732" s="157"/>
      <c r="AZ732" s="157"/>
      <c r="BA732" s="157"/>
      <c r="BB732" s="157"/>
      <c r="BC732" s="151"/>
      <c r="BD732" s="157"/>
      <c r="BE732" s="157"/>
      <c r="BF732" s="157"/>
      <c r="BG732" s="157"/>
      <c r="BH732" s="157"/>
      <c r="BI732" s="157"/>
      <c r="BJ732" s="353"/>
      <c r="BK732" s="353"/>
      <c r="BL732" s="353"/>
      <c r="BM732" s="14"/>
      <c r="BN732" s="14"/>
      <c r="BO732" s="14"/>
    </row>
    <row r="733" spans="1:67" ht="20.100000000000001" customHeight="1">
      <c r="A733" s="157"/>
      <c r="B733" s="1"/>
      <c r="C733" s="157"/>
      <c r="D733" s="1"/>
      <c r="E733" s="150"/>
      <c r="F733" s="150"/>
      <c r="G733" s="151"/>
      <c r="H733" s="150"/>
      <c r="I733" s="150"/>
      <c r="J733" s="151"/>
      <c r="K733" s="151"/>
      <c r="L733" s="150"/>
      <c r="M733" s="151"/>
      <c r="N733" s="151"/>
      <c r="O733" s="151"/>
      <c r="P733" s="150"/>
      <c r="Q733" s="150"/>
      <c r="R733" s="158"/>
      <c r="S733" s="158"/>
      <c r="T733" s="158"/>
      <c r="U733" s="158"/>
      <c r="V733" s="1"/>
      <c r="W733" s="1"/>
      <c r="X733" s="157"/>
      <c r="Y733" s="157"/>
      <c r="Z733" s="157"/>
      <c r="AA733" s="157"/>
      <c r="AB733" s="157"/>
      <c r="AC733" s="151"/>
      <c r="AD733" s="151"/>
      <c r="AE733" s="151"/>
      <c r="AF733" s="157"/>
      <c r="AG733" s="157"/>
      <c r="AH733" s="157"/>
      <c r="AI733" s="157"/>
      <c r="AJ733" s="157"/>
      <c r="AK733" s="157"/>
      <c r="AL733" s="157"/>
      <c r="AM733" s="157"/>
      <c r="AN733" s="159"/>
      <c r="AO733" s="159"/>
      <c r="AP733" s="160"/>
      <c r="AQ733" s="160"/>
      <c r="AR733" s="160"/>
      <c r="AS733" s="159"/>
      <c r="AT733" s="159"/>
      <c r="AU733" s="161"/>
      <c r="AV733" s="157"/>
      <c r="AW733" s="157"/>
      <c r="AX733" s="157"/>
      <c r="AY733" s="157"/>
      <c r="AZ733" s="157"/>
      <c r="BA733" s="157"/>
      <c r="BB733" s="157"/>
      <c r="BC733" s="151"/>
      <c r="BD733" s="157"/>
      <c r="BE733" s="157"/>
      <c r="BF733" s="157"/>
      <c r="BG733" s="157"/>
      <c r="BH733" s="157"/>
      <c r="BI733" s="157"/>
      <c r="BJ733" s="353"/>
      <c r="BK733" s="353"/>
      <c r="BL733" s="353"/>
      <c r="BM733" s="14"/>
      <c r="BN733" s="14"/>
      <c r="BO733" s="14"/>
    </row>
    <row r="734" spans="1:67" ht="20.100000000000001" customHeight="1">
      <c r="A734" s="157"/>
      <c r="B734" s="1"/>
      <c r="C734" s="157"/>
      <c r="D734" s="1"/>
      <c r="E734" s="150"/>
      <c r="F734" s="150"/>
      <c r="G734" s="151"/>
      <c r="H734" s="150"/>
      <c r="I734" s="150"/>
      <c r="J734" s="151"/>
      <c r="K734" s="151"/>
      <c r="L734" s="150"/>
      <c r="M734" s="151"/>
      <c r="N734" s="151"/>
      <c r="O734" s="151"/>
      <c r="P734" s="150"/>
      <c r="Q734" s="150"/>
      <c r="R734" s="158"/>
      <c r="S734" s="158"/>
      <c r="T734" s="158"/>
      <c r="U734" s="158"/>
      <c r="V734" s="1"/>
      <c r="W734" s="1"/>
      <c r="X734" s="157"/>
      <c r="Y734" s="157"/>
      <c r="Z734" s="157"/>
      <c r="AA734" s="157"/>
      <c r="AB734" s="157"/>
      <c r="AC734" s="151"/>
      <c r="AD734" s="151"/>
      <c r="AE734" s="151"/>
      <c r="AF734" s="157"/>
      <c r="AG734" s="157"/>
      <c r="AH734" s="157"/>
      <c r="AI734" s="157"/>
      <c r="AJ734" s="157"/>
      <c r="AK734" s="157"/>
      <c r="AL734" s="157"/>
      <c r="AM734" s="157"/>
      <c r="AN734" s="159"/>
      <c r="AO734" s="159"/>
      <c r="AP734" s="160"/>
      <c r="AQ734" s="160"/>
      <c r="AR734" s="160"/>
      <c r="AS734" s="159"/>
      <c r="AT734" s="159"/>
      <c r="AU734" s="161"/>
      <c r="AV734" s="157"/>
      <c r="AW734" s="157"/>
      <c r="AX734" s="157"/>
      <c r="AY734" s="157"/>
      <c r="AZ734" s="157"/>
      <c r="BA734" s="157"/>
      <c r="BB734" s="157"/>
      <c r="BC734" s="151"/>
      <c r="BD734" s="157"/>
      <c r="BE734" s="157"/>
      <c r="BF734" s="157"/>
      <c r="BG734" s="157"/>
      <c r="BH734" s="157"/>
      <c r="BI734" s="157"/>
      <c r="BJ734" s="353"/>
      <c r="BK734" s="353"/>
      <c r="BL734" s="353"/>
      <c r="BM734" s="14"/>
      <c r="BN734" s="14"/>
      <c r="BO734" s="14"/>
    </row>
    <row r="735" spans="1:67" ht="20.100000000000001" customHeight="1">
      <c r="A735" s="157"/>
      <c r="B735" s="1"/>
      <c r="C735" s="157"/>
      <c r="D735" s="1"/>
      <c r="E735" s="150"/>
      <c r="F735" s="150"/>
      <c r="G735" s="151"/>
      <c r="H735" s="150"/>
      <c r="I735" s="150"/>
      <c r="J735" s="151"/>
      <c r="K735" s="151"/>
      <c r="L735" s="150"/>
      <c r="M735" s="151"/>
      <c r="N735" s="151"/>
      <c r="O735" s="151"/>
      <c r="P735" s="150"/>
      <c r="Q735" s="150"/>
      <c r="R735" s="158"/>
      <c r="S735" s="158"/>
      <c r="T735" s="158"/>
      <c r="U735" s="158"/>
      <c r="V735" s="1"/>
      <c r="W735" s="1"/>
      <c r="X735" s="157"/>
      <c r="Y735" s="157"/>
      <c r="Z735" s="157"/>
      <c r="AA735" s="157"/>
      <c r="AB735" s="157"/>
      <c r="AC735" s="151"/>
      <c r="AD735" s="151"/>
      <c r="AE735" s="151"/>
      <c r="AF735" s="157"/>
      <c r="AG735" s="157"/>
      <c r="AH735" s="157"/>
      <c r="AI735" s="157"/>
      <c r="AJ735" s="157"/>
      <c r="AK735" s="157"/>
      <c r="AL735" s="157"/>
      <c r="AM735" s="157"/>
      <c r="AN735" s="159"/>
      <c r="AO735" s="159"/>
      <c r="AP735" s="160"/>
      <c r="AQ735" s="160"/>
      <c r="AR735" s="160"/>
      <c r="AS735" s="159"/>
      <c r="AT735" s="159"/>
      <c r="AU735" s="161"/>
      <c r="AV735" s="157"/>
      <c r="AW735" s="157"/>
      <c r="AX735" s="157"/>
      <c r="AY735" s="157"/>
      <c r="AZ735" s="157"/>
      <c r="BA735" s="157"/>
      <c r="BB735" s="157"/>
      <c r="BC735" s="151"/>
      <c r="BD735" s="157"/>
      <c r="BE735" s="157"/>
      <c r="BF735" s="157"/>
      <c r="BG735" s="157"/>
      <c r="BH735" s="157"/>
      <c r="BI735" s="157"/>
      <c r="BJ735" s="353"/>
      <c r="BK735" s="353"/>
      <c r="BL735" s="353"/>
      <c r="BM735" s="14"/>
      <c r="BN735" s="14"/>
      <c r="BO735" s="14"/>
    </row>
    <row r="736" spans="1:67" ht="20.100000000000001" customHeight="1">
      <c r="A736" s="157"/>
      <c r="B736" s="1"/>
      <c r="C736" s="157"/>
      <c r="D736" s="1"/>
      <c r="E736" s="150"/>
      <c r="F736" s="150"/>
      <c r="G736" s="151"/>
      <c r="H736" s="150"/>
      <c r="I736" s="150"/>
      <c r="J736" s="151"/>
      <c r="K736" s="151"/>
      <c r="L736" s="150"/>
      <c r="M736" s="151"/>
      <c r="N736" s="151"/>
      <c r="O736" s="151"/>
      <c r="P736" s="150"/>
      <c r="Q736" s="150"/>
      <c r="R736" s="158"/>
      <c r="S736" s="158"/>
      <c r="T736" s="158"/>
      <c r="U736" s="158"/>
      <c r="V736" s="1"/>
      <c r="W736" s="1"/>
      <c r="X736" s="157"/>
      <c r="Y736" s="157"/>
      <c r="Z736" s="157"/>
      <c r="AA736" s="157"/>
      <c r="AB736" s="157"/>
      <c r="AC736" s="151"/>
      <c r="AD736" s="151"/>
      <c r="AE736" s="151"/>
      <c r="AF736" s="157"/>
      <c r="AG736" s="157"/>
      <c r="AH736" s="157"/>
      <c r="AI736" s="157"/>
      <c r="AJ736" s="157"/>
      <c r="AK736" s="157"/>
      <c r="AL736" s="157"/>
      <c r="AM736" s="157"/>
      <c r="AN736" s="159"/>
      <c r="AO736" s="159"/>
      <c r="AP736" s="160"/>
      <c r="AQ736" s="160"/>
      <c r="AR736" s="160"/>
      <c r="AS736" s="159"/>
      <c r="AT736" s="159"/>
      <c r="AU736" s="161"/>
      <c r="AV736" s="157"/>
      <c r="AW736" s="157"/>
      <c r="AX736" s="157"/>
      <c r="AY736" s="157"/>
      <c r="AZ736" s="157"/>
      <c r="BA736" s="157"/>
      <c r="BB736" s="157"/>
      <c r="BC736" s="151"/>
      <c r="BD736" s="157"/>
      <c r="BE736" s="157"/>
      <c r="BF736" s="157"/>
      <c r="BG736" s="157"/>
      <c r="BH736" s="157"/>
      <c r="BI736" s="157"/>
      <c r="BJ736" s="353"/>
      <c r="BK736" s="353"/>
      <c r="BL736" s="353"/>
      <c r="BM736" s="14"/>
      <c r="BN736" s="14"/>
      <c r="BO736" s="14"/>
    </row>
    <row r="737" spans="1:67" ht="20.100000000000001" customHeight="1">
      <c r="A737" s="157"/>
      <c r="B737" s="1"/>
      <c r="C737" s="157"/>
      <c r="D737" s="1"/>
      <c r="E737" s="150"/>
      <c r="F737" s="150"/>
      <c r="G737" s="151"/>
      <c r="H737" s="150"/>
      <c r="I737" s="150"/>
      <c r="J737" s="151"/>
      <c r="K737" s="151"/>
      <c r="L737" s="150"/>
      <c r="M737" s="151"/>
      <c r="N737" s="151"/>
      <c r="O737" s="151"/>
      <c r="P737" s="150"/>
      <c r="Q737" s="150"/>
      <c r="R737" s="158"/>
      <c r="S737" s="158"/>
      <c r="T737" s="158"/>
      <c r="U737" s="158"/>
      <c r="V737" s="1"/>
      <c r="W737" s="1"/>
      <c r="X737" s="157"/>
      <c r="Y737" s="157"/>
      <c r="Z737" s="157"/>
      <c r="AA737" s="157"/>
      <c r="AB737" s="157"/>
      <c r="AC737" s="151"/>
      <c r="AD737" s="151"/>
      <c r="AE737" s="151"/>
      <c r="AF737" s="157"/>
      <c r="AG737" s="157"/>
      <c r="AH737" s="157"/>
      <c r="AI737" s="157"/>
      <c r="AJ737" s="157"/>
      <c r="AK737" s="157"/>
      <c r="AL737" s="157"/>
      <c r="AM737" s="157"/>
      <c r="AN737" s="159"/>
      <c r="AO737" s="159"/>
      <c r="AP737" s="160"/>
      <c r="AQ737" s="160"/>
      <c r="AR737" s="160"/>
      <c r="AS737" s="159"/>
      <c r="AT737" s="159"/>
      <c r="AU737" s="161"/>
      <c r="AV737" s="157"/>
      <c r="AW737" s="157"/>
      <c r="AX737" s="157"/>
      <c r="AY737" s="157"/>
      <c r="AZ737" s="157"/>
      <c r="BA737" s="157"/>
      <c r="BB737" s="157"/>
      <c r="BC737" s="151"/>
      <c r="BD737" s="157"/>
      <c r="BE737" s="157"/>
      <c r="BF737" s="157"/>
      <c r="BG737" s="157"/>
      <c r="BH737" s="157"/>
      <c r="BI737" s="157"/>
      <c r="BJ737" s="353"/>
      <c r="BK737" s="353"/>
      <c r="BL737" s="353"/>
      <c r="BM737" s="14"/>
      <c r="BN737" s="14"/>
      <c r="BO737" s="14"/>
    </row>
    <row r="738" spans="1:67" ht="20.100000000000001" customHeight="1">
      <c r="A738" s="157"/>
      <c r="B738" s="1"/>
      <c r="C738" s="157"/>
      <c r="D738" s="1"/>
      <c r="E738" s="150"/>
      <c r="F738" s="150"/>
      <c r="G738" s="151"/>
      <c r="H738" s="150"/>
      <c r="I738" s="150"/>
      <c r="J738" s="151"/>
      <c r="K738" s="151"/>
      <c r="L738" s="150"/>
      <c r="M738" s="151"/>
      <c r="N738" s="151"/>
      <c r="O738" s="151"/>
      <c r="P738" s="150"/>
      <c r="Q738" s="150"/>
      <c r="R738" s="158"/>
      <c r="S738" s="158"/>
      <c r="T738" s="158"/>
      <c r="U738" s="158"/>
      <c r="V738" s="1"/>
      <c r="W738" s="1"/>
      <c r="X738" s="157"/>
      <c r="Y738" s="157"/>
      <c r="Z738" s="157"/>
      <c r="AA738" s="157"/>
      <c r="AB738" s="157"/>
      <c r="AC738" s="151"/>
      <c r="AD738" s="151"/>
      <c r="AE738" s="151"/>
      <c r="AF738" s="157"/>
      <c r="AG738" s="157"/>
      <c r="AH738" s="157"/>
      <c r="AI738" s="157"/>
      <c r="AJ738" s="157"/>
      <c r="AK738" s="157"/>
      <c r="AL738" s="157"/>
      <c r="AM738" s="157"/>
      <c r="AN738" s="159"/>
      <c r="AO738" s="159"/>
      <c r="AP738" s="160"/>
      <c r="AQ738" s="160"/>
      <c r="AR738" s="160"/>
      <c r="AS738" s="159"/>
      <c r="AT738" s="159"/>
      <c r="AU738" s="161"/>
      <c r="AV738" s="157"/>
      <c r="AW738" s="157"/>
      <c r="AX738" s="157"/>
      <c r="AY738" s="157"/>
      <c r="AZ738" s="157"/>
      <c r="BA738" s="157"/>
      <c r="BB738" s="157"/>
      <c r="BC738" s="151"/>
      <c r="BD738" s="157"/>
      <c r="BE738" s="157"/>
      <c r="BF738" s="157"/>
      <c r="BG738" s="157"/>
      <c r="BH738" s="157"/>
      <c r="BI738" s="157"/>
      <c r="BJ738" s="353"/>
      <c r="BK738" s="353"/>
      <c r="BL738" s="353"/>
      <c r="BM738" s="14"/>
      <c r="BN738" s="14"/>
      <c r="BO738" s="14"/>
    </row>
    <row r="739" spans="1:67" ht="20.100000000000001" customHeight="1">
      <c r="A739" s="157"/>
      <c r="B739" s="1"/>
      <c r="C739" s="157"/>
      <c r="D739" s="1"/>
      <c r="E739" s="150"/>
      <c r="F739" s="150"/>
      <c r="G739" s="151"/>
      <c r="H739" s="150"/>
      <c r="I739" s="150"/>
      <c r="J739" s="151"/>
      <c r="K739" s="151"/>
      <c r="L739" s="150"/>
      <c r="M739" s="151"/>
      <c r="N739" s="151"/>
      <c r="O739" s="151"/>
      <c r="P739" s="150"/>
      <c r="Q739" s="150"/>
      <c r="R739" s="158"/>
      <c r="S739" s="158"/>
      <c r="T739" s="158"/>
      <c r="U739" s="158"/>
      <c r="V739" s="1"/>
      <c r="W739" s="1"/>
      <c r="X739" s="157"/>
      <c r="Y739" s="157"/>
      <c r="Z739" s="157"/>
      <c r="AA739" s="157"/>
      <c r="AB739" s="157"/>
      <c r="AC739" s="151"/>
      <c r="AD739" s="151"/>
      <c r="AE739" s="151"/>
      <c r="AF739" s="157"/>
      <c r="AG739" s="157"/>
      <c r="AH739" s="157"/>
      <c r="AI739" s="157"/>
      <c r="AJ739" s="157"/>
      <c r="AK739" s="157"/>
      <c r="AL739" s="157"/>
      <c r="AM739" s="157"/>
      <c r="AN739" s="159"/>
      <c r="AO739" s="159"/>
      <c r="AP739" s="160"/>
      <c r="AQ739" s="160"/>
      <c r="AR739" s="160"/>
      <c r="AS739" s="159"/>
      <c r="AT739" s="159"/>
      <c r="AU739" s="161"/>
      <c r="AV739" s="157"/>
      <c r="AW739" s="157"/>
      <c r="AX739" s="157"/>
      <c r="AY739" s="157"/>
      <c r="AZ739" s="157"/>
      <c r="BA739" s="157"/>
      <c r="BB739" s="157"/>
      <c r="BC739" s="151"/>
      <c r="BD739" s="157"/>
      <c r="BE739" s="157"/>
      <c r="BF739" s="157"/>
      <c r="BG739" s="157"/>
      <c r="BH739" s="157"/>
      <c r="BI739" s="157"/>
      <c r="BJ739" s="353"/>
      <c r="BK739" s="353"/>
      <c r="BL739" s="353"/>
      <c r="BM739" s="14"/>
      <c r="BN739" s="14"/>
      <c r="BO739" s="14"/>
    </row>
    <row r="740" spans="1:67" ht="20.100000000000001" customHeight="1">
      <c r="A740" s="157"/>
      <c r="B740" s="1"/>
      <c r="C740" s="157"/>
      <c r="D740" s="1"/>
      <c r="E740" s="150"/>
      <c r="F740" s="150"/>
      <c r="G740" s="151"/>
      <c r="H740" s="150"/>
      <c r="I740" s="150"/>
      <c r="J740" s="151"/>
      <c r="K740" s="151"/>
      <c r="L740" s="150"/>
      <c r="M740" s="151"/>
      <c r="N740" s="151"/>
      <c r="O740" s="151"/>
      <c r="P740" s="150"/>
      <c r="Q740" s="150"/>
      <c r="R740" s="158"/>
      <c r="S740" s="158"/>
      <c r="T740" s="158"/>
      <c r="U740" s="158"/>
      <c r="V740" s="1"/>
      <c r="W740" s="1"/>
      <c r="X740" s="157"/>
      <c r="Y740" s="157"/>
      <c r="Z740" s="157"/>
      <c r="AA740" s="157"/>
      <c r="AB740" s="157"/>
      <c r="AC740" s="151"/>
      <c r="AD740" s="151"/>
      <c r="AE740" s="151"/>
      <c r="AF740" s="157"/>
      <c r="AG740" s="157"/>
      <c r="AH740" s="157"/>
      <c r="AI740" s="157"/>
      <c r="AJ740" s="157"/>
      <c r="AK740" s="157"/>
      <c r="AL740" s="157"/>
      <c r="AM740" s="157"/>
      <c r="AN740" s="159"/>
      <c r="AO740" s="159"/>
      <c r="AP740" s="160"/>
      <c r="AQ740" s="160"/>
      <c r="AR740" s="160"/>
      <c r="AS740" s="159"/>
      <c r="AT740" s="159"/>
      <c r="AU740" s="161"/>
      <c r="AV740" s="157"/>
      <c r="AW740" s="157"/>
      <c r="AX740" s="157"/>
      <c r="AY740" s="157"/>
      <c r="AZ740" s="157"/>
      <c r="BA740" s="157"/>
      <c r="BB740" s="157"/>
      <c r="BC740" s="151"/>
      <c r="BD740" s="157"/>
      <c r="BE740" s="157"/>
      <c r="BF740" s="157"/>
      <c r="BG740" s="157"/>
      <c r="BH740" s="157"/>
      <c r="BI740" s="157"/>
      <c r="BJ740" s="353"/>
      <c r="BK740" s="353"/>
      <c r="BL740" s="353"/>
      <c r="BM740" s="14"/>
      <c r="BN740" s="14"/>
      <c r="BO740" s="14"/>
    </row>
    <row r="741" spans="1:67" ht="20.100000000000001" customHeight="1">
      <c r="A741" s="157"/>
      <c r="B741" s="1"/>
      <c r="C741" s="157"/>
      <c r="D741" s="1"/>
      <c r="E741" s="150"/>
      <c r="F741" s="150"/>
      <c r="G741" s="151"/>
      <c r="H741" s="150"/>
      <c r="I741" s="150"/>
      <c r="J741" s="151"/>
      <c r="K741" s="151"/>
      <c r="L741" s="150"/>
      <c r="M741" s="151"/>
      <c r="N741" s="151"/>
      <c r="O741" s="151"/>
      <c r="P741" s="150"/>
      <c r="Q741" s="150"/>
      <c r="R741" s="158"/>
      <c r="S741" s="158"/>
      <c r="T741" s="158"/>
      <c r="U741" s="158"/>
      <c r="V741" s="1"/>
      <c r="W741" s="1"/>
      <c r="X741" s="157"/>
      <c r="Y741" s="157"/>
      <c r="Z741" s="157"/>
      <c r="AA741" s="157"/>
      <c r="AB741" s="157"/>
      <c r="AC741" s="151"/>
      <c r="AD741" s="151"/>
      <c r="AE741" s="151"/>
      <c r="AF741" s="157"/>
      <c r="AG741" s="157"/>
      <c r="AH741" s="157"/>
      <c r="AI741" s="157"/>
      <c r="AJ741" s="157"/>
      <c r="AK741" s="157"/>
      <c r="AL741" s="157"/>
      <c r="AM741" s="157"/>
      <c r="AN741" s="159"/>
      <c r="AO741" s="159"/>
      <c r="AP741" s="160"/>
      <c r="AQ741" s="160"/>
      <c r="AR741" s="160"/>
      <c r="AS741" s="159"/>
      <c r="AT741" s="159"/>
      <c r="AU741" s="161"/>
      <c r="AV741" s="157"/>
      <c r="AW741" s="157"/>
      <c r="AX741" s="157"/>
      <c r="AY741" s="157"/>
      <c r="AZ741" s="157"/>
      <c r="BA741" s="157"/>
      <c r="BB741" s="157"/>
      <c r="BC741" s="151"/>
      <c r="BD741" s="157"/>
      <c r="BE741" s="157"/>
      <c r="BF741" s="157"/>
      <c r="BG741" s="157"/>
      <c r="BH741" s="157"/>
      <c r="BI741" s="157"/>
      <c r="BJ741" s="353"/>
      <c r="BK741" s="353"/>
      <c r="BL741" s="353"/>
      <c r="BM741" s="14"/>
      <c r="BN741" s="14"/>
      <c r="BO741" s="14"/>
    </row>
    <row r="742" spans="1:67" ht="20.100000000000001" customHeight="1">
      <c r="A742" s="157"/>
      <c r="B742" s="1"/>
      <c r="C742" s="157"/>
      <c r="D742" s="1"/>
      <c r="E742" s="150"/>
      <c r="F742" s="150"/>
      <c r="G742" s="151"/>
      <c r="H742" s="150"/>
      <c r="I742" s="150"/>
      <c r="J742" s="151"/>
      <c r="K742" s="151"/>
      <c r="L742" s="150"/>
      <c r="M742" s="151"/>
      <c r="N742" s="151"/>
      <c r="O742" s="151"/>
      <c r="P742" s="150"/>
      <c r="Q742" s="150"/>
      <c r="R742" s="158"/>
      <c r="S742" s="158"/>
      <c r="T742" s="158"/>
      <c r="U742" s="158"/>
      <c r="V742" s="1"/>
      <c r="W742" s="1"/>
      <c r="X742" s="157"/>
      <c r="Y742" s="157"/>
      <c r="Z742" s="157"/>
      <c r="AA742" s="157"/>
      <c r="AB742" s="157"/>
      <c r="AC742" s="151"/>
      <c r="AD742" s="151"/>
      <c r="AE742" s="151"/>
      <c r="AF742" s="157"/>
      <c r="AG742" s="157"/>
      <c r="AH742" s="157"/>
      <c r="AI742" s="157"/>
      <c r="AJ742" s="157"/>
      <c r="AK742" s="157"/>
      <c r="AL742" s="157"/>
      <c r="AM742" s="157"/>
      <c r="AN742" s="159"/>
      <c r="AO742" s="159"/>
      <c r="AP742" s="160"/>
      <c r="AQ742" s="160"/>
      <c r="AR742" s="160"/>
      <c r="AS742" s="159"/>
      <c r="AT742" s="159"/>
      <c r="AU742" s="161"/>
      <c r="AV742" s="157"/>
      <c r="AW742" s="157"/>
      <c r="AX742" s="157"/>
      <c r="AY742" s="157"/>
      <c r="AZ742" s="157"/>
      <c r="BA742" s="157"/>
      <c r="BB742" s="157"/>
      <c r="BC742" s="151"/>
      <c r="BD742" s="157"/>
      <c r="BE742" s="157"/>
      <c r="BF742" s="157"/>
      <c r="BG742" s="157"/>
      <c r="BH742" s="157"/>
      <c r="BI742" s="157"/>
      <c r="BJ742" s="353"/>
      <c r="BK742" s="353"/>
      <c r="BL742" s="353"/>
      <c r="BM742" s="14"/>
      <c r="BN742" s="14"/>
      <c r="BO742" s="14"/>
    </row>
    <row r="743" spans="1:67" ht="20.100000000000001" customHeight="1">
      <c r="A743" s="157"/>
      <c r="B743" s="1"/>
      <c r="C743" s="157"/>
      <c r="D743" s="1"/>
      <c r="E743" s="150"/>
      <c r="F743" s="150"/>
      <c r="G743" s="151"/>
      <c r="H743" s="150"/>
      <c r="I743" s="150"/>
      <c r="J743" s="151"/>
      <c r="K743" s="151"/>
      <c r="L743" s="150"/>
      <c r="M743" s="151"/>
      <c r="N743" s="151"/>
      <c r="O743" s="151"/>
      <c r="P743" s="150"/>
      <c r="Q743" s="150"/>
      <c r="R743" s="158"/>
      <c r="S743" s="158"/>
      <c r="T743" s="158"/>
      <c r="U743" s="158"/>
      <c r="V743" s="1"/>
      <c r="W743" s="1"/>
      <c r="X743" s="157"/>
      <c r="Y743" s="157"/>
      <c r="Z743" s="157"/>
      <c r="AA743" s="157"/>
      <c r="AB743" s="157"/>
      <c r="AC743" s="151"/>
      <c r="AD743" s="151"/>
      <c r="AE743" s="151"/>
      <c r="AF743" s="157"/>
      <c r="AG743" s="157"/>
      <c r="AH743" s="157"/>
      <c r="AI743" s="157"/>
      <c r="AJ743" s="157"/>
      <c r="AK743" s="157"/>
      <c r="AL743" s="157"/>
      <c r="AM743" s="157"/>
      <c r="AN743" s="159"/>
      <c r="AO743" s="159"/>
      <c r="AP743" s="160"/>
      <c r="AQ743" s="160"/>
      <c r="AR743" s="160"/>
      <c r="AS743" s="159"/>
      <c r="AT743" s="159"/>
      <c r="AU743" s="161"/>
      <c r="AV743" s="157"/>
      <c r="AW743" s="157"/>
      <c r="AX743" s="157"/>
      <c r="AY743" s="157"/>
      <c r="AZ743" s="157"/>
      <c r="BA743" s="157"/>
      <c r="BB743" s="157"/>
      <c r="BC743" s="151"/>
      <c r="BD743" s="157"/>
      <c r="BE743" s="157"/>
      <c r="BF743" s="157"/>
      <c r="BG743" s="157"/>
      <c r="BH743" s="157"/>
      <c r="BI743" s="157"/>
      <c r="BJ743" s="353"/>
      <c r="BK743" s="353"/>
      <c r="BL743" s="353"/>
      <c r="BM743" s="14"/>
      <c r="BN743" s="14"/>
      <c r="BO743" s="14"/>
    </row>
    <row r="744" spans="1:67" ht="20.100000000000001" customHeight="1">
      <c r="A744" s="157"/>
      <c r="B744" s="1"/>
      <c r="C744" s="157"/>
      <c r="D744" s="1"/>
      <c r="E744" s="150"/>
      <c r="F744" s="150"/>
      <c r="G744" s="151"/>
      <c r="H744" s="150"/>
      <c r="I744" s="150"/>
      <c r="J744" s="151"/>
      <c r="K744" s="151"/>
      <c r="L744" s="150"/>
      <c r="M744" s="151"/>
      <c r="N744" s="151"/>
      <c r="O744" s="151"/>
      <c r="P744" s="150"/>
      <c r="Q744" s="150"/>
      <c r="R744" s="158"/>
      <c r="S744" s="158"/>
      <c r="T744" s="158"/>
      <c r="U744" s="158"/>
      <c r="V744" s="1"/>
      <c r="W744" s="1"/>
      <c r="X744" s="157"/>
      <c r="Y744" s="157"/>
      <c r="Z744" s="157"/>
      <c r="AA744" s="157"/>
      <c r="AB744" s="157"/>
      <c r="AC744" s="151"/>
      <c r="AD744" s="151"/>
      <c r="AE744" s="151"/>
      <c r="AF744" s="157"/>
      <c r="AG744" s="157"/>
      <c r="AH744" s="157"/>
      <c r="AI744" s="157"/>
      <c r="AJ744" s="157"/>
      <c r="AK744" s="157"/>
      <c r="AL744" s="157"/>
      <c r="AM744" s="157"/>
      <c r="AN744" s="159"/>
      <c r="AO744" s="159"/>
      <c r="AP744" s="160"/>
      <c r="AQ744" s="160"/>
      <c r="AR744" s="160"/>
      <c r="AS744" s="159"/>
      <c r="AT744" s="159"/>
      <c r="AU744" s="161"/>
      <c r="AV744" s="157"/>
      <c r="AW744" s="157"/>
      <c r="AX744" s="157"/>
      <c r="AY744" s="157"/>
      <c r="AZ744" s="157"/>
      <c r="BA744" s="157"/>
      <c r="BB744" s="157"/>
      <c r="BC744" s="151"/>
      <c r="BD744" s="157"/>
      <c r="BE744" s="157"/>
      <c r="BF744" s="157"/>
      <c r="BG744" s="157"/>
      <c r="BH744" s="157"/>
      <c r="BI744" s="157"/>
      <c r="BJ744" s="353"/>
      <c r="BK744" s="353"/>
      <c r="BL744" s="353"/>
      <c r="BM744" s="14"/>
      <c r="BN744" s="14"/>
      <c r="BO744" s="14"/>
    </row>
    <row r="745" spans="1:67" ht="20.100000000000001" customHeight="1">
      <c r="A745" s="157"/>
      <c r="B745" s="1"/>
      <c r="C745" s="157"/>
      <c r="D745" s="1"/>
      <c r="E745" s="150"/>
      <c r="F745" s="150"/>
      <c r="G745" s="151"/>
      <c r="H745" s="150"/>
      <c r="I745" s="150"/>
      <c r="J745" s="151"/>
      <c r="K745" s="151"/>
      <c r="L745" s="150"/>
      <c r="M745" s="151"/>
      <c r="N745" s="151"/>
      <c r="O745" s="151"/>
      <c r="P745" s="150"/>
      <c r="Q745" s="150"/>
      <c r="R745" s="158"/>
      <c r="S745" s="158"/>
      <c r="T745" s="158"/>
      <c r="U745" s="158"/>
      <c r="V745" s="1"/>
      <c r="W745" s="1"/>
      <c r="X745" s="157"/>
      <c r="Y745" s="157"/>
      <c r="Z745" s="157"/>
      <c r="AA745" s="157"/>
      <c r="AB745" s="157"/>
      <c r="AC745" s="151"/>
      <c r="AD745" s="151"/>
      <c r="AE745" s="151"/>
      <c r="AF745" s="157"/>
      <c r="AG745" s="157"/>
      <c r="AH745" s="157"/>
      <c r="AI745" s="157"/>
      <c r="AJ745" s="157"/>
      <c r="AK745" s="157"/>
      <c r="AL745" s="157"/>
      <c r="AM745" s="157"/>
      <c r="AN745" s="159"/>
      <c r="AO745" s="159"/>
      <c r="AP745" s="160"/>
      <c r="AQ745" s="160"/>
      <c r="AR745" s="160"/>
      <c r="AS745" s="159"/>
      <c r="AT745" s="159"/>
      <c r="AU745" s="161"/>
      <c r="AV745" s="157"/>
      <c r="AW745" s="157"/>
      <c r="AX745" s="157"/>
      <c r="AY745" s="157"/>
      <c r="AZ745" s="157"/>
      <c r="BA745" s="157"/>
      <c r="BB745" s="157"/>
      <c r="BC745" s="151"/>
      <c r="BD745" s="157"/>
      <c r="BE745" s="157"/>
      <c r="BF745" s="157"/>
      <c r="BG745" s="157"/>
      <c r="BH745" s="157"/>
      <c r="BI745" s="157"/>
      <c r="BJ745" s="353"/>
      <c r="BK745" s="353"/>
      <c r="BL745" s="353"/>
      <c r="BM745" s="14"/>
      <c r="BN745" s="14"/>
      <c r="BO745" s="14"/>
    </row>
    <row r="746" spans="1:67" ht="20.100000000000001" customHeight="1">
      <c r="A746" s="157"/>
      <c r="B746" s="1"/>
      <c r="C746" s="157"/>
      <c r="D746" s="1"/>
      <c r="E746" s="150"/>
      <c r="F746" s="150"/>
      <c r="G746" s="151"/>
      <c r="H746" s="150"/>
      <c r="I746" s="150"/>
      <c r="J746" s="151"/>
      <c r="K746" s="151"/>
      <c r="L746" s="150"/>
      <c r="M746" s="151"/>
      <c r="N746" s="151"/>
      <c r="O746" s="151"/>
      <c r="P746" s="150"/>
      <c r="Q746" s="150"/>
      <c r="R746" s="158"/>
      <c r="S746" s="158"/>
      <c r="T746" s="158"/>
      <c r="U746" s="158"/>
      <c r="V746" s="1"/>
      <c r="W746" s="1"/>
      <c r="X746" s="157"/>
      <c r="Y746" s="157"/>
      <c r="Z746" s="157"/>
      <c r="AA746" s="157"/>
      <c r="AB746" s="157"/>
      <c r="AC746" s="151"/>
      <c r="AD746" s="151"/>
      <c r="AE746" s="151"/>
      <c r="AF746" s="157"/>
      <c r="AG746" s="157"/>
      <c r="AH746" s="157"/>
      <c r="AI746" s="157"/>
      <c r="AJ746" s="157"/>
      <c r="AK746" s="157"/>
      <c r="AL746" s="157"/>
      <c r="AM746" s="157"/>
      <c r="AN746" s="159"/>
      <c r="AO746" s="159"/>
      <c r="AP746" s="160"/>
      <c r="AQ746" s="160"/>
      <c r="AR746" s="160"/>
      <c r="AS746" s="159"/>
      <c r="AT746" s="159"/>
      <c r="AU746" s="161"/>
      <c r="AV746" s="157"/>
      <c r="AW746" s="157"/>
      <c r="AX746" s="157"/>
      <c r="AY746" s="157"/>
      <c r="AZ746" s="157"/>
      <c r="BA746" s="157"/>
      <c r="BB746" s="157"/>
      <c r="BC746" s="151"/>
      <c r="BD746" s="157"/>
      <c r="BE746" s="157"/>
      <c r="BF746" s="157"/>
      <c r="BG746" s="157"/>
      <c r="BH746" s="157"/>
      <c r="BI746" s="157"/>
      <c r="BJ746" s="353"/>
      <c r="BK746" s="353"/>
      <c r="BL746" s="353"/>
      <c r="BM746" s="14"/>
      <c r="BN746" s="14"/>
      <c r="BO746" s="14"/>
    </row>
    <row r="747" spans="1:67" ht="20.100000000000001" customHeight="1">
      <c r="A747" s="157"/>
      <c r="B747" s="1"/>
      <c r="C747" s="157"/>
      <c r="D747" s="1"/>
      <c r="E747" s="150"/>
      <c r="F747" s="150"/>
      <c r="G747" s="151"/>
      <c r="H747" s="150"/>
      <c r="I747" s="150"/>
      <c r="J747" s="151"/>
      <c r="K747" s="151"/>
      <c r="L747" s="150"/>
      <c r="M747" s="151"/>
      <c r="N747" s="151"/>
      <c r="O747" s="151"/>
      <c r="P747" s="150"/>
      <c r="Q747" s="150"/>
      <c r="R747" s="158"/>
      <c r="S747" s="158"/>
      <c r="T747" s="158"/>
      <c r="U747" s="158"/>
      <c r="V747" s="1"/>
      <c r="W747" s="1"/>
      <c r="X747" s="157"/>
      <c r="Y747" s="157"/>
      <c r="Z747" s="157"/>
      <c r="AA747" s="157"/>
      <c r="AB747" s="157"/>
      <c r="AC747" s="151"/>
      <c r="AD747" s="151"/>
      <c r="AE747" s="151"/>
      <c r="AF747" s="157"/>
      <c r="AG747" s="157"/>
      <c r="AH747" s="157"/>
      <c r="AI747" s="157"/>
      <c r="AJ747" s="157"/>
      <c r="AK747" s="157"/>
      <c r="AL747" s="157"/>
      <c r="AM747" s="157"/>
      <c r="AN747" s="159"/>
      <c r="AO747" s="159"/>
      <c r="AP747" s="160"/>
      <c r="AQ747" s="160"/>
      <c r="AR747" s="160"/>
      <c r="AS747" s="159"/>
      <c r="AT747" s="159"/>
      <c r="AU747" s="161"/>
      <c r="AV747" s="157"/>
      <c r="AW747" s="157"/>
      <c r="AX747" s="157"/>
      <c r="AY747" s="157"/>
      <c r="AZ747" s="157"/>
      <c r="BA747" s="157"/>
      <c r="BB747" s="157"/>
      <c r="BC747" s="151"/>
      <c r="BD747" s="157"/>
      <c r="BE747" s="157"/>
      <c r="BF747" s="157"/>
      <c r="BG747" s="157"/>
      <c r="BH747" s="157"/>
      <c r="BI747" s="157"/>
      <c r="BJ747" s="353"/>
      <c r="BK747" s="353"/>
      <c r="BL747" s="353"/>
      <c r="BM747" s="14"/>
      <c r="BN747" s="14"/>
      <c r="BO747" s="14"/>
    </row>
    <row r="748" spans="1:67" ht="20.100000000000001" customHeight="1">
      <c r="A748" s="157"/>
      <c r="B748" s="1"/>
      <c r="C748" s="157"/>
      <c r="D748" s="1"/>
      <c r="E748" s="150"/>
      <c r="F748" s="150"/>
      <c r="G748" s="151"/>
      <c r="H748" s="150"/>
      <c r="I748" s="150"/>
      <c r="J748" s="151"/>
      <c r="K748" s="151"/>
      <c r="L748" s="150"/>
      <c r="M748" s="151"/>
      <c r="N748" s="151"/>
      <c r="O748" s="151"/>
      <c r="P748" s="150"/>
      <c r="Q748" s="150"/>
      <c r="R748" s="158"/>
      <c r="S748" s="158"/>
      <c r="T748" s="158"/>
      <c r="U748" s="158"/>
      <c r="V748" s="1"/>
      <c r="W748" s="1"/>
      <c r="X748" s="157"/>
      <c r="Y748" s="157"/>
      <c r="Z748" s="157"/>
      <c r="AA748" s="157"/>
      <c r="AB748" s="157"/>
      <c r="AC748" s="151"/>
      <c r="AD748" s="151"/>
      <c r="AE748" s="151"/>
      <c r="AF748" s="157"/>
      <c r="AG748" s="157"/>
      <c r="AH748" s="157"/>
      <c r="AI748" s="157"/>
      <c r="AJ748" s="157"/>
      <c r="AK748" s="157"/>
      <c r="AL748" s="157"/>
      <c r="AM748" s="157"/>
      <c r="AN748" s="159"/>
      <c r="AO748" s="159"/>
      <c r="AP748" s="160"/>
      <c r="AQ748" s="160"/>
      <c r="AR748" s="160"/>
      <c r="AS748" s="159"/>
      <c r="AT748" s="159"/>
      <c r="AU748" s="161"/>
      <c r="AV748" s="157"/>
      <c r="AW748" s="157"/>
      <c r="AX748" s="157"/>
      <c r="AY748" s="157"/>
      <c r="AZ748" s="157"/>
      <c r="BA748" s="157"/>
      <c r="BB748" s="157"/>
      <c r="BC748" s="151"/>
      <c r="BD748" s="157"/>
      <c r="BE748" s="157"/>
      <c r="BF748" s="157"/>
      <c r="BG748" s="157"/>
      <c r="BH748" s="157"/>
      <c r="BI748" s="157"/>
      <c r="BJ748" s="353"/>
      <c r="BK748" s="353"/>
      <c r="BL748" s="353"/>
      <c r="BM748" s="14"/>
      <c r="BN748" s="14"/>
      <c r="BO748" s="14"/>
    </row>
    <row r="749" spans="1:67" ht="20.100000000000001" customHeight="1">
      <c r="A749" s="157"/>
      <c r="B749" s="1"/>
      <c r="C749" s="157"/>
      <c r="D749" s="1"/>
      <c r="E749" s="150"/>
      <c r="F749" s="150"/>
      <c r="G749" s="151"/>
      <c r="H749" s="150"/>
      <c r="I749" s="150"/>
      <c r="J749" s="151"/>
      <c r="K749" s="151"/>
      <c r="L749" s="150"/>
      <c r="M749" s="151"/>
      <c r="N749" s="151"/>
      <c r="O749" s="151"/>
      <c r="P749" s="150"/>
      <c r="Q749" s="150"/>
      <c r="R749" s="158"/>
      <c r="S749" s="158"/>
      <c r="T749" s="158"/>
      <c r="U749" s="158"/>
      <c r="V749" s="1"/>
      <c r="W749" s="1"/>
      <c r="X749" s="157"/>
      <c r="Y749" s="157"/>
      <c r="Z749" s="157"/>
      <c r="AA749" s="157"/>
      <c r="AB749" s="157"/>
      <c r="AC749" s="151"/>
      <c r="AD749" s="151"/>
      <c r="AE749" s="151"/>
      <c r="AF749" s="157"/>
      <c r="AG749" s="157"/>
      <c r="AH749" s="157"/>
      <c r="AI749" s="157"/>
      <c r="AJ749" s="157"/>
      <c r="AK749" s="157"/>
      <c r="AL749" s="157"/>
      <c r="AM749" s="157"/>
      <c r="AN749" s="159"/>
      <c r="AO749" s="159"/>
      <c r="AP749" s="160"/>
      <c r="AQ749" s="160"/>
      <c r="AR749" s="160"/>
      <c r="AS749" s="159"/>
      <c r="AT749" s="159"/>
      <c r="AU749" s="161"/>
      <c r="AV749" s="157"/>
      <c r="AW749" s="157"/>
      <c r="AX749" s="157"/>
      <c r="AY749" s="157"/>
      <c r="AZ749" s="157"/>
      <c r="BA749" s="157"/>
      <c r="BB749" s="157"/>
      <c r="BC749" s="151"/>
      <c r="BD749" s="157"/>
      <c r="BE749" s="157"/>
      <c r="BF749" s="157"/>
      <c r="BG749" s="157"/>
      <c r="BH749" s="157"/>
      <c r="BI749" s="157"/>
      <c r="BJ749" s="353"/>
      <c r="BK749" s="353"/>
      <c r="BL749" s="353"/>
      <c r="BM749" s="14"/>
      <c r="BN749" s="14"/>
      <c r="BO749" s="14"/>
    </row>
    <row r="750" spans="1:67" ht="20.100000000000001" customHeight="1">
      <c r="A750" s="157"/>
      <c r="B750" s="1"/>
      <c r="C750" s="157"/>
      <c r="D750" s="1"/>
      <c r="E750" s="150"/>
      <c r="F750" s="150"/>
      <c r="G750" s="151"/>
      <c r="H750" s="150"/>
      <c r="I750" s="150"/>
      <c r="J750" s="151"/>
      <c r="K750" s="151"/>
      <c r="L750" s="150"/>
      <c r="M750" s="151"/>
      <c r="N750" s="151"/>
      <c r="O750" s="151"/>
      <c r="P750" s="150"/>
      <c r="Q750" s="150"/>
      <c r="R750" s="158"/>
      <c r="S750" s="158"/>
      <c r="T750" s="158"/>
      <c r="U750" s="158"/>
      <c r="V750" s="1"/>
      <c r="W750" s="1"/>
      <c r="X750" s="157"/>
      <c r="Y750" s="157"/>
      <c r="Z750" s="157"/>
      <c r="AA750" s="157"/>
      <c r="AB750" s="157"/>
      <c r="AC750" s="151"/>
      <c r="AD750" s="151"/>
      <c r="AE750" s="151"/>
      <c r="AF750" s="157"/>
      <c r="AG750" s="157"/>
      <c r="AH750" s="157"/>
      <c r="AI750" s="157"/>
      <c r="AJ750" s="157"/>
      <c r="AK750" s="157"/>
      <c r="AL750" s="157"/>
      <c r="AM750" s="157"/>
      <c r="AN750" s="159"/>
      <c r="AO750" s="159"/>
      <c r="AP750" s="160"/>
      <c r="AQ750" s="160"/>
      <c r="AR750" s="160"/>
      <c r="AS750" s="159"/>
      <c r="AT750" s="159"/>
      <c r="AU750" s="161"/>
      <c r="AV750" s="157"/>
      <c r="AW750" s="157"/>
      <c r="AX750" s="157"/>
      <c r="AY750" s="157"/>
      <c r="AZ750" s="157"/>
      <c r="BA750" s="157"/>
      <c r="BB750" s="157"/>
      <c r="BC750" s="151"/>
      <c r="BD750" s="157"/>
      <c r="BE750" s="157"/>
      <c r="BF750" s="157"/>
      <c r="BG750" s="157"/>
      <c r="BH750" s="157"/>
      <c r="BI750" s="157"/>
      <c r="BJ750" s="353"/>
      <c r="BK750" s="353"/>
      <c r="BL750" s="353"/>
      <c r="BM750" s="14"/>
      <c r="BN750" s="14"/>
      <c r="BO750" s="14"/>
    </row>
    <row r="751" spans="1:67" ht="20.100000000000001" customHeight="1">
      <c r="A751" s="157"/>
      <c r="B751" s="1"/>
      <c r="C751" s="157"/>
      <c r="D751" s="1"/>
      <c r="E751" s="150"/>
      <c r="F751" s="150"/>
      <c r="G751" s="151"/>
      <c r="H751" s="150"/>
      <c r="I751" s="150"/>
      <c r="J751" s="151"/>
      <c r="K751" s="151"/>
      <c r="L751" s="150"/>
      <c r="M751" s="151"/>
      <c r="N751" s="151"/>
      <c r="O751" s="151"/>
      <c r="P751" s="150"/>
      <c r="Q751" s="150"/>
      <c r="R751" s="158"/>
      <c r="S751" s="158"/>
      <c r="T751" s="158"/>
      <c r="U751" s="158"/>
      <c r="V751" s="1"/>
      <c r="W751" s="1"/>
      <c r="X751" s="157"/>
      <c r="Y751" s="157"/>
      <c r="Z751" s="157"/>
      <c r="AA751" s="157"/>
      <c r="AB751" s="157"/>
      <c r="AC751" s="151"/>
      <c r="AD751" s="151"/>
      <c r="AE751" s="151"/>
      <c r="AF751" s="157"/>
      <c r="AG751" s="157"/>
      <c r="AH751" s="157"/>
      <c r="AI751" s="157"/>
      <c r="AJ751" s="157"/>
      <c r="AK751" s="157"/>
      <c r="AL751" s="157"/>
      <c r="AM751" s="157"/>
      <c r="AN751" s="159"/>
      <c r="AO751" s="159"/>
      <c r="AP751" s="160"/>
      <c r="AQ751" s="160"/>
      <c r="AR751" s="160"/>
      <c r="AS751" s="159"/>
      <c r="AT751" s="159"/>
      <c r="AU751" s="161"/>
      <c r="AV751" s="157"/>
      <c r="AW751" s="157"/>
      <c r="AX751" s="157"/>
      <c r="AY751" s="157"/>
      <c r="AZ751" s="157"/>
      <c r="BA751" s="157"/>
      <c r="BB751" s="157"/>
      <c r="BC751" s="151"/>
      <c r="BD751" s="157"/>
      <c r="BE751" s="157"/>
      <c r="BF751" s="157"/>
      <c r="BG751" s="157"/>
      <c r="BH751" s="157"/>
      <c r="BI751" s="157"/>
      <c r="BJ751" s="353"/>
      <c r="BK751" s="353"/>
      <c r="BL751" s="353"/>
      <c r="BM751" s="14"/>
      <c r="BN751" s="14"/>
      <c r="BO751" s="14"/>
    </row>
    <row r="752" spans="1:67" ht="20.100000000000001" customHeight="1">
      <c r="A752" s="157"/>
      <c r="B752" s="1"/>
      <c r="C752" s="157"/>
      <c r="D752" s="1"/>
      <c r="E752" s="150"/>
      <c r="F752" s="150"/>
      <c r="G752" s="151"/>
      <c r="H752" s="150"/>
      <c r="I752" s="150"/>
      <c r="J752" s="151"/>
      <c r="K752" s="151"/>
      <c r="L752" s="150"/>
      <c r="M752" s="151"/>
      <c r="N752" s="151"/>
      <c r="O752" s="151"/>
      <c r="P752" s="150"/>
      <c r="Q752" s="150"/>
      <c r="R752" s="158"/>
      <c r="S752" s="158"/>
      <c r="T752" s="158"/>
      <c r="U752" s="158"/>
      <c r="V752" s="1"/>
      <c r="W752" s="1"/>
      <c r="X752" s="157"/>
      <c r="Y752" s="157"/>
      <c r="Z752" s="157"/>
      <c r="AA752" s="157"/>
      <c r="AB752" s="157"/>
      <c r="AC752" s="151"/>
      <c r="AD752" s="151"/>
      <c r="AE752" s="151"/>
      <c r="AF752" s="157"/>
      <c r="AG752" s="157"/>
      <c r="AH752" s="157"/>
      <c r="AI752" s="157"/>
      <c r="AJ752" s="157"/>
      <c r="AK752" s="157"/>
      <c r="AL752" s="157"/>
      <c r="AM752" s="157"/>
      <c r="AN752" s="159"/>
      <c r="AO752" s="159"/>
      <c r="AP752" s="160"/>
      <c r="AQ752" s="160"/>
      <c r="AR752" s="160"/>
      <c r="AS752" s="159"/>
      <c r="AT752" s="159"/>
      <c r="AU752" s="161"/>
      <c r="AV752" s="157"/>
      <c r="AW752" s="157"/>
      <c r="AX752" s="157"/>
      <c r="AY752" s="157"/>
      <c r="AZ752" s="157"/>
      <c r="BA752" s="157"/>
      <c r="BB752" s="157"/>
      <c r="BC752" s="151"/>
      <c r="BD752" s="157"/>
      <c r="BE752" s="157"/>
      <c r="BF752" s="157"/>
      <c r="BG752" s="157"/>
      <c r="BH752" s="157"/>
      <c r="BI752" s="157"/>
      <c r="BJ752" s="353"/>
      <c r="BK752" s="353"/>
      <c r="BL752" s="353"/>
      <c r="BM752" s="14"/>
      <c r="BN752" s="14"/>
      <c r="BO752" s="14"/>
    </row>
    <row r="753" spans="1:67" ht="20.100000000000001" customHeight="1">
      <c r="A753" s="157"/>
      <c r="B753" s="1"/>
      <c r="C753" s="157"/>
      <c r="D753" s="1"/>
      <c r="E753" s="150"/>
      <c r="F753" s="150"/>
      <c r="G753" s="151"/>
      <c r="H753" s="150"/>
      <c r="I753" s="150"/>
      <c r="J753" s="151"/>
      <c r="K753" s="151"/>
      <c r="L753" s="150"/>
      <c r="M753" s="151"/>
      <c r="N753" s="151"/>
      <c r="O753" s="151"/>
      <c r="P753" s="150"/>
      <c r="Q753" s="150"/>
      <c r="R753" s="158"/>
      <c r="S753" s="158"/>
      <c r="T753" s="158"/>
      <c r="U753" s="158"/>
      <c r="V753" s="1"/>
      <c r="W753" s="1"/>
      <c r="X753" s="157"/>
      <c r="Y753" s="157"/>
      <c r="Z753" s="157"/>
      <c r="AA753" s="157"/>
      <c r="AB753" s="157"/>
      <c r="AC753" s="151"/>
      <c r="AD753" s="151"/>
      <c r="AE753" s="151"/>
      <c r="AF753" s="157"/>
      <c r="AG753" s="157"/>
      <c r="AH753" s="157"/>
      <c r="AI753" s="157"/>
      <c r="AJ753" s="157"/>
      <c r="AK753" s="157"/>
      <c r="AL753" s="157"/>
      <c r="AM753" s="157"/>
      <c r="AN753" s="159"/>
      <c r="AO753" s="159"/>
      <c r="AP753" s="160"/>
      <c r="AQ753" s="160"/>
      <c r="AR753" s="160"/>
      <c r="AS753" s="159"/>
      <c r="AT753" s="159"/>
      <c r="AU753" s="161"/>
      <c r="AV753" s="157"/>
      <c r="AW753" s="157"/>
      <c r="AX753" s="157"/>
      <c r="AY753" s="157"/>
      <c r="AZ753" s="157"/>
      <c r="BA753" s="157"/>
      <c r="BB753" s="157"/>
      <c r="BC753" s="151"/>
      <c r="BD753" s="157"/>
      <c r="BE753" s="157"/>
      <c r="BF753" s="157"/>
      <c r="BG753" s="157"/>
      <c r="BH753" s="157"/>
      <c r="BI753" s="157"/>
      <c r="BJ753" s="353"/>
      <c r="BK753" s="353"/>
      <c r="BL753" s="353"/>
      <c r="BM753" s="14"/>
      <c r="BN753" s="14"/>
      <c r="BO753" s="14"/>
    </row>
    <row r="754" spans="1:67" ht="20.100000000000001" customHeight="1">
      <c r="A754" s="157"/>
      <c r="B754" s="1"/>
      <c r="C754" s="157"/>
      <c r="D754" s="1"/>
      <c r="E754" s="150"/>
      <c r="F754" s="150"/>
      <c r="G754" s="151"/>
      <c r="H754" s="150"/>
      <c r="I754" s="150"/>
      <c r="J754" s="151"/>
      <c r="K754" s="151"/>
      <c r="L754" s="150"/>
      <c r="M754" s="151"/>
      <c r="N754" s="151"/>
      <c r="O754" s="151"/>
      <c r="P754" s="150"/>
      <c r="Q754" s="150"/>
      <c r="R754" s="158"/>
      <c r="S754" s="158"/>
      <c r="T754" s="158"/>
      <c r="U754" s="158"/>
      <c r="V754" s="1"/>
      <c r="W754" s="1"/>
      <c r="X754" s="157"/>
      <c r="Y754" s="157"/>
      <c r="Z754" s="157"/>
      <c r="AA754" s="157"/>
      <c r="AB754" s="157"/>
      <c r="AC754" s="151"/>
      <c r="AD754" s="151"/>
      <c r="AE754" s="151"/>
      <c r="AF754" s="157"/>
      <c r="AG754" s="157"/>
      <c r="AH754" s="157"/>
      <c r="AI754" s="157"/>
      <c r="AJ754" s="157"/>
      <c r="AK754" s="157"/>
      <c r="AL754" s="157"/>
      <c r="AM754" s="157"/>
      <c r="AN754" s="159"/>
      <c r="AO754" s="159"/>
      <c r="AP754" s="160"/>
      <c r="AQ754" s="160"/>
      <c r="AR754" s="160"/>
      <c r="AS754" s="159"/>
      <c r="AT754" s="159"/>
      <c r="AU754" s="161"/>
      <c r="AV754" s="157"/>
      <c r="AW754" s="157"/>
      <c r="AX754" s="157"/>
      <c r="AY754" s="157"/>
      <c r="AZ754" s="157"/>
      <c r="BA754" s="157"/>
      <c r="BB754" s="157"/>
      <c r="BC754" s="151"/>
      <c r="BD754" s="157"/>
      <c r="BE754" s="157"/>
      <c r="BF754" s="157"/>
      <c r="BG754" s="157"/>
      <c r="BH754" s="157"/>
      <c r="BI754" s="157"/>
      <c r="BJ754" s="353"/>
      <c r="BK754" s="353"/>
      <c r="BL754" s="353"/>
      <c r="BM754" s="14"/>
      <c r="BN754" s="14"/>
      <c r="BO754" s="14"/>
    </row>
    <row r="755" spans="1:67" ht="20.100000000000001" customHeight="1">
      <c r="A755" s="157"/>
      <c r="B755" s="1"/>
      <c r="C755" s="157"/>
      <c r="D755" s="1"/>
      <c r="E755" s="150"/>
      <c r="F755" s="150"/>
      <c r="G755" s="151"/>
      <c r="H755" s="150"/>
      <c r="I755" s="150"/>
      <c r="J755" s="151"/>
      <c r="K755" s="151"/>
      <c r="L755" s="150"/>
      <c r="M755" s="151"/>
      <c r="N755" s="151"/>
      <c r="O755" s="151"/>
      <c r="P755" s="150"/>
      <c r="Q755" s="150"/>
      <c r="R755" s="158"/>
      <c r="S755" s="158"/>
      <c r="T755" s="158"/>
      <c r="U755" s="158"/>
      <c r="V755" s="1"/>
      <c r="W755" s="1"/>
      <c r="X755" s="157"/>
      <c r="Y755" s="157"/>
      <c r="Z755" s="157"/>
      <c r="AA755" s="157"/>
      <c r="AB755" s="157"/>
      <c r="AC755" s="151"/>
      <c r="AD755" s="151"/>
      <c r="AE755" s="151"/>
      <c r="AF755" s="157"/>
      <c r="AG755" s="157"/>
      <c r="AH755" s="157"/>
      <c r="AI755" s="157"/>
      <c r="AJ755" s="157"/>
      <c r="AK755" s="157"/>
      <c r="AL755" s="157"/>
      <c r="AM755" s="157"/>
      <c r="AN755" s="159"/>
      <c r="AO755" s="159"/>
      <c r="AP755" s="160"/>
      <c r="AQ755" s="160"/>
      <c r="AR755" s="160"/>
      <c r="AS755" s="159"/>
      <c r="AT755" s="159"/>
      <c r="AU755" s="161"/>
      <c r="AV755" s="157"/>
      <c r="AW755" s="157"/>
      <c r="AX755" s="157"/>
      <c r="AY755" s="157"/>
      <c r="AZ755" s="157"/>
      <c r="BA755" s="157"/>
      <c r="BB755" s="157"/>
      <c r="BC755" s="151"/>
      <c r="BD755" s="157"/>
      <c r="BE755" s="157"/>
      <c r="BF755" s="157"/>
      <c r="BG755" s="157"/>
      <c r="BH755" s="157"/>
      <c r="BI755" s="157"/>
      <c r="BJ755" s="353"/>
      <c r="BK755" s="353"/>
      <c r="BL755" s="353"/>
      <c r="BM755" s="14"/>
      <c r="BN755" s="14"/>
      <c r="BO755" s="14"/>
    </row>
    <row r="756" spans="1:67" ht="20.100000000000001" customHeight="1">
      <c r="A756" s="157"/>
      <c r="B756" s="1"/>
      <c r="C756" s="157"/>
      <c r="D756" s="1"/>
      <c r="E756" s="150"/>
      <c r="F756" s="150"/>
      <c r="G756" s="151"/>
      <c r="H756" s="150"/>
      <c r="I756" s="150"/>
      <c r="J756" s="151"/>
      <c r="K756" s="151"/>
      <c r="L756" s="150"/>
      <c r="M756" s="151"/>
      <c r="N756" s="151"/>
      <c r="O756" s="151"/>
      <c r="P756" s="150"/>
      <c r="Q756" s="150"/>
      <c r="R756" s="158"/>
      <c r="S756" s="158"/>
      <c r="T756" s="158"/>
      <c r="U756" s="158"/>
      <c r="V756" s="1"/>
      <c r="W756" s="1"/>
      <c r="X756" s="157"/>
      <c r="Y756" s="157"/>
      <c r="Z756" s="157"/>
      <c r="AA756" s="157"/>
      <c r="AB756" s="157"/>
      <c r="AC756" s="151"/>
      <c r="AD756" s="151"/>
      <c r="AE756" s="151"/>
      <c r="AF756" s="157"/>
      <c r="AG756" s="157"/>
      <c r="AH756" s="157"/>
      <c r="AI756" s="157"/>
      <c r="AJ756" s="157"/>
      <c r="AK756" s="157"/>
      <c r="AL756" s="157"/>
      <c r="AM756" s="157"/>
      <c r="AN756" s="159"/>
      <c r="AO756" s="159"/>
      <c r="AP756" s="160"/>
      <c r="AQ756" s="160"/>
      <c r="AR756" s="160"/>
      <c r="AS756" s="159"/>
      <c r="AT756" s="159"/>
      <c r="AU756" s="161"/>
      <c r="AV756" s="157"/>
      <c r="AW756" s="157"/>
      <c r="AX756" s="157"/>
      <c r="AY756" s="157"/>
      <c r="AZ756" s="157"/>
      <c r="BA756" s="157"/>
      <c r="BB756" s="157"/>
      <c r="BC756" s="151"/>
      <c r="BD756" s="157"/>
      <c r="BE756" s="157"/>
      <c r="BF756" s="157"/>
      <c r="BG756" s="157"/>
      <c r="BH756" s="157"/>
      <c r="BI756" s="157"/>
      <c r="BJ756" s="353"/>
      <c r="BK756" s="353"/>
      <c r="BL756" s="353"/>
      <c r="BM756" s="14"/>
      <c r="BN756" s="14"/>
      <c r="BO756" s="14"/>
    </row>
    <row r="757" spans="1:67" ht="20.100000000000001" customHeight="1">
      <c r="A757" s="157"/>
      <c r="B757" s="1"/>
      <c r="C757" s="157"/>
      <c r="D757" s="1"/>
      <c r="E757" s="150"/>
      <c r="F757" s="150"/>
      <c r="G757" s="151"/>
      <c r="H757" s="150"/>
      <c r="I757" s="150"/>
      <c r="J757" s="151"/>
      <c r="K757" s="151"/>
      <c r="L757" s="150"/>
      <c r="M757" s="151"/>
      <c r="N757" s="151"/>
      <c r="O757" s="151"/>
      <c r="P757" s="150"/>
      <c r="Q757" s="150"/>
      <c r="R757" s="158"/>
      <c r="S757" s="158"/>
      <c r="T757" s="158"/>
      <c r="U757" s="158"/>
      <c r="V757" s="1"/>
      <c r="W757" s="1"/>
      <c r="X757" s="157"/>
      <c r="Y757" s="157"/>
      <c r="Z757" s="157"/>
      <c r="AA757" s="157"/>
      <c r="AB757" s="157"/>
      <c r="AC757" s="151"/>
      <c r="AD757" s="151"/>
      <c r="AE757" s="151"/>
      <c r="AF757" s="157"/>
      <c r="AG757" s="157"/>
      <c r="AH757" s="157"/>
      <c r="AI757" s="157"/>
      <c r="AJ757" s="157"/>
      <c r="AK757" s="157"/>
      <c r="AL757" s="157"/>
      <c r="AM757" s="157"/>
      <c r="AN757" s="159"/>
      <c r="AO757" s="159"/>
      <c r="AP757" s="160"/>
      <c r="AQ757" s="160"/>
      <c r="AR757" s="160"/>
      <c r="AS757" s="159"/>
      <c r="AT757" s="159"/>
      <c r="AU757" s="161"/>
      <c r="AV757" s="157"/>
      <c r="AW757" s="157"/>
      <c r="AX757" s="157"/>
      <c r="AY757" s="157"/>
      <c r="AZ757" s="157"/>
      <c r="BA757" s="157"/>
      <c r="BB757" s="157"/>
      <c r="BC757" s="151"/>
      <c r="BD757" s="157"/>
      <c r="BE757" s="157"/>
      <c r="BF757" s="157"/>
      <c r="BG757" s="157"/>
      <c r="BH757" s="157"/>
      <c r="BI757" s="157"/>
      <c r="BJ757" s="353"/>
      <c r="BK757" s="353"/>
      <c r="BL757" s="353"/>
      <c r="BM757" s="14"/>
      <c r="BN757" s="14"/>
      <c r="BO757" s="14"/>
    </row>
    <row r="758" spans="1:67" ht="20.100000000000001" customHeight="1">
      <c r="A758" s="157"/>
      <c r="B758" s="1"/>
      <c r="C758" s="157"/>
      <c r="D758" s="1"/>
      <c r="E758" s="150"/>
      <c r="F758" s="150"/>
      <c r="G758" s="151"/>
      <c r="H758" s="150"/>
      <c r="I758" s="150"/>
      <c r="J758" s="151"/>
      <c r="K758" s="151"/>
      <c r="L758" s="150"/>
      <c r="M758" s="151"/>
      <c r="N758" s="151"/>
      <c r="O758" s="151"/>
      <c r="P758" s="150"/>
      <c r="Q758" s="150"/>
      <c r="R758" s="158"/>
      <c r="S758" s="158"/>
      <c r="T758" s="158"/>
      <c r="U758" s="158"/>
      <c r="V758" s="1"/>
      <c r="W758" s="1"/>
      <c r="X758" s="157"/>
      <c r="Y758" s="157"/>
      <c r="Z758" s="157"/>
      <c r="AA758" s="157"/>
      <c r="AB758" s="157"/>
      <c r="AC758" s="151"/>
      <c r="AD758" s="151"/>
      <c r="AE758" s="151"/>
      <c r="AF758" s="157"/>
      <c r="AG758" s="157"/>
      <c r="AH758" s="157"/>
      <c r="AI758" s="157"/>
      <c r="AJ758" s="157"/>
      <c r="AK758" s="157"/>
      <c r="AL758" s="157"/>
      <c r="AM758" s="157"/>
      <c r="AN758" s="159"/>
      <c r="AO758" s="159"/>
      <c r="AP758" s="160"/>
      <c r="AQ758" s="160"/>
      <c r="AR758" s="160"/>
      <c r="AS758" s="159"/>
      <c r="AT758" s="159"/>
      <c r="AU758" s="161"/>
      <c r="AV758" s="157"/>
      <c r="AW758" s="157"/>
      <c r="AX758" s="157"/>
      <c r="AY758" s="157"/>
      <c r="AZ758" s="157"/>
      <c r="BA758" s="157"/>
      <c r="BB758" s="157"/>
      <c r="BC758" s="151"/>
      <c r="BD758" s="157"/>
      <c r="BE758" s="157"/>
      <c r="BF758" s="157"/>
      <c r="BG758" s="157"/>
      <c r="BH758" s="157"/>
      <c r="BI758" s="157"/>
      <c r="BJ758" s="353"/>
      <c r="BK758" s="353"/>
      <c r="BL758" s="353"/>
      <c r="BM758" s="14"/>
      <c r="BN758" s="14"/>
      <c r="BO758" s="14"/>
    </row>
    <row r="759" spans="1:67" ht="20.100000000000001" customHeight="1">
      <c r="A759" s="157"/>
      <c r="B759" s="1"/>
      <c r="C759" s="157"/>
      <c r="D759" s="1"/>
      <c r="E759" s="150"/>
      <c r="F759" s="150"/>
      <c r="G759" s="151"/>
      <c r="H759" s="150"/>
      <c r="I759" s="150"/>
      <c r="J759" s="151"/>
      <c r="K759" s="151"/>
      <c r="L759" s="150"/>
      <c r="M759" s="151"/>
      <c r="N759" s="151"/>
      <c r="O759" s="151"/>
      <c r="P759" s="150"/>
      <c r="Q759" s="150"/>
      <c r="R759" s="158"/>
      <c r="S759" s="158"/>
      <c r="T759" s="158"/>
      <c r="U759" s="158"/>
      <c r="V759" s="1"/>
      <c r="W759" s="1"/>
      <c r="X759" s="157"/>
      <c r="Y759" s="157"/>
      <c r="Z759" s="157"/>
      <c r="AA759" s="157"/>
      <c r="AB759" s="157"/>
      <c r="AC759" s="151"/>
      <c r="AD759" s="151"/>
      <c r="AE759" s="151"/>
      <c r="AF759" s="157"/>
      <c r="AG759" s="157"/>
      <c r="AH759" s="157"/>
      <c r="AI759" s="157"/>
      <c r="AJ759" s="157"/>
      <c r="AK759" s="157"/>
      <c r="AL759" s="157"/>
      <c r="AM759" s="157"/>
      <c r="AN759" s="159"/>
      <c r="AO759" s="159"/>
      <c r="AP759" s="160"/>
      <c r="AQ759" s="160"/>
      <c r="AR759" s="160"/>
      <c r="AS759" s="159"/>
      <c r="AT759" s="159"/>
      <c r="AU759" s="161"/>
      <c r="AV759" s="157"/>
      <c r="AW759" s="157"/>
      <c r="AX759" s="157"/>
      <c r="AY759" s="157"/>
      <c r="AZ759" s="157"/>
      <c r="BA759" s="157"/>
      <c r="BB759" s="157"/>
      <c r="BC759" s="151"/>
      <c r="BD759" s="157"/>
      <c r="BE759" s="157"/>
      <c r="BF759" s="157"/>
      <c r="BG759" s="157"/>
      <c r="BH759" s="157"/>
      <c r="BI759" s="157"/>
      <c r="BJ759" s="353"/>
      <c r="BK759" s="353"/>
      <c r="BL759" s="353"/>
      <c r="BM759" s="14"/>
      <c r="BN759" s="14"/>
      <c r="BO759" s="14"/>
    </row>
    <row r="760" spans="1:67" ht="20.100000000000001" customHeight="1">
      <c r="A760" s="157"/>
      <c r="B760" s="1"/>
      <c r="C760" s="157"/>
      <c r="D760" s="1"/>
      <c r="E760" s="150"/>
      <c r="F760" s="150"/>
      <c r="G760" s="151"/>
      <c r="H760" s="150"/>
      <c r="I760" s="150"/>
      <c r="J760" s="151"/>
      <c r="K760" s="151"/>
      <c r="L760" s="150"/>
      <c r="M760" s="151"/>
      <c r="N760" s="151"/>
      <c r="O760" s="151"/>
      <c r="P760" s="150"/>
      <c r="Q760" s="150"/>
      <c r="R760" s="158"/>
      <c r="S760" s="158"/>
      <c r="T760" s="158"/>
      <c r="U760" s="158"/>
      <c r="V760" s="1"/>
      <c r="W760" s="1"/>
      <c r="X760" s="157"/>
      <c r="Y760" s="157"/>
      <c r="Z760" s="157"/>
      <c r="AA760" s="157"/>
      <c r="AB760" s="157"/>
      <c r="AC760" s="151"/>
      <c r="AD760" s="151"/>
      <c r="AE760" s="151"/>
      <c r="AF760" s="157"/>
      <c r="AG760" s="157"/>
      <c r="AH760" s="157"/>
      <c r="AI760" s="157"/>
      <c r="AJ760" s="157"/>
      <c r="AK760" s="157"/>
      <c r="AL760" s="157"/>
      <c r="AM760" s="157"/>
      <c r="AN760" s="159"/>
      <c r="AO760" s="159"/>
      <c r="AP760" s="160"/>
      <c r="AQ760" s="160"/>
      <c r="AR760" s="160"/>
      <c r="AS760" s="159"/>
      <c r="AT760" s="159"/>
      <c r="AU760" s="161"/>
      <c r="AV760" s="157"/>
      <c r="AW760" s="157"/>
      <c r="AX760" s="157"/>
      <c r="AY760" s="157"/>
      <c r="AZ760" s="157"/>
      <c r="BA760" s="157"/>
      <c r="BB760" s="157"/>
      <c r="BC760" s="151"/>
      <c r="BD760" s="157"/>
      <c r="BE760" s="157"/>
      <c r="BF760" s="157"/>
      <c r="BG760" s="157"/>
      <c r="BH760" s="157"/>
      <c r="BI760" s="157"/>
      <c r="BJ760" s="353"/>
      <c r="BK760" s="353"/>
      <c r="BL760" s="353"/>
      <c r="BM760" s="14"/>
      <c r="BN760" s="14"/>
      <c r="BO760" s="14"/>
    </row>
    <row r="761" spans="1:67" ht="20.100000000000001" customHeight="1">
      <c r="A761" s="157"/>
      <c r="B761" s="1"/>
      <c r="C761" s="157"/>
      <c r="D761" s="1"/>
      <c r="E761" s="150"/>
      <c r="F761" s="150"/>
      <c r="G761" s="151"/>
      <c r="H761" s="150"/>
      <c r="I761" s="150"/>
      <c r="J761" s="151"/>
      <c r="K761" s="151"/>
      <c r="L761" s="150"/>
      <c r="M761" s="151"/>
      <c r="N761" s="151"/>
      <c r="O761" s="151"/>
      <c r="P761" s="150"/>
      <c r="Q761" s="150"/>
      <c r="R761" s="158"/>
      <c r="S761" s="158"/>
      <c r="T761" s="158"/>
      <c r="U761" s="158"/>
      <c r="V761" s="1"/>
      <c r="W761" s="1"/>
      <c r="X761" s="157"/>
      <c r="Y761" s="157"/>
      <c r="Z761" s="157"/>
      <c r="AA761" s="157"/>
      <c r="AB761" s="157"/>
      <c r="AC761" s="151"/>
      <c r="AD761" s="151"/>
      <c r="AE761" s="151"/>
      <c r="AF761" s="157"/>
      <c r="AG761" s="157"/>
      <c r="AH761" s="157"/>
      <c r="AI761" s="157"/>
      <c r="AJ761" s="157"/>
      <c r="AK761" s="157"/>
      <c r="AL761" s="157"/>
      <c r="AM761" s="157"/>
      <c r="AN761" s="159"/>
      <c r="AO761" s="159"/>
      <c r="AP761" s="160"/>
      <c r="AQ761" s="160"/>
      <c r="AR761" s="160"/>
      <c r="AS761" s="159"/>
      <c r="AT761" s="159"/>
      <c r="AU761" s="161"/>
      <c r="AV761" s="157"/>
      <c r="AW761" s="157"/>
      <c r="AX761" s="157"/>
      <c r="AY761" s="157"/>
      <c r="AZ761" s="157"/>
      <c r="BA761" s="157"/>
      <c r="BB761" s="157"/>
      <c r="BC761" s="151"/>
      <c r="BD761" s="157"/>
      <c r="BE761" s="157"/>
      <c r="BF761" s="157"/>
      <c r="BG761" s="157"/>
      <c r="BH761" s="157"/>
      <c r="BI761" s="157"/>
      <c r="BJ761" s="353"/>
      <c r="BK761" s="353"/>
      <c r="BL761" s="353"/>
      <c r="BM761" s="14"/>
      <c r="BN761" s="14"/>
      <c r="BO761" s="14"/>
    </row>
    <row r="762" spans="1:67" ht="20.100000000000001" customHeight="1">
      <c r="A762" s="157"/>
      <c r="B762" s="1"/>
      <c r="C762" s="157"/>
      <c r="D762" s="1"/>
      <c r="E762" s="150"/>
      <c r="F762" s="150"/>
      <c r="G762" s="151"/>
      <c r="H762" s="150"/>
      <c r="I762" s="150"/>
      <c r="J762" s="151"/>
      <c r="K762" s="151"/>
      <c r="L762" s="150"/>
      <c r="M762" s="151"/>
      <c r="N762" s="151"/>
      <c r="O762" s="151"/>
      <c r="P762" s="150"/>
      <c r="Q762" s="150"/>
      <c r="R762" s="158"/>
      <c r="S762" s="158"/>
      <c r="T762" s="158"/>
      <c r="U762" s="158"/>
      <c r="V762" s="1"/>
      <c r="W762" s="1"/>
      <c r="X762" s="157"/>
      <c r="Y762" s="157"/>
      <c r="Z762" s="157"/>
      <c r="AA762" s="157"/>
      <c r="AB762" s="157"/>
      <c r="AC762" s="151"/>
      <c r="AD762" s="151"/>
      <c r="AE762" s="151"/>
      <c r="AF762" s="157"/>
      <c r="AG762" s="157"/>
      <c r="AH762" s="157"/>
      <c r="AI762" s="157"/>
      <c r="AJ762" s="157"/>
      <c r="AK762" s="157"/>
      <c r="AL762" s="157"/>
      <c r="AM762" s="157"/>
      <c r="AN762" s="159"/>
      <c r="AO762" s="159"/>
      <c r="AP762" s="160"/>
      <c r="AQ762" s="160"/>
      <c r="AR762" s="160"/>
      <c r="AS762" s="159"/>
      <c r="AT762" s="159"/>
      <c r="AU762" s="161"/>
      <c r="AV762" s="157"/>
      <c r="AW762" s="157"/>
      <c r="AX762" s="157"/>
      <c r="AY762" s="157"/>
      <c r="AZ762" s="157"/>
      <c r="BA762" s="157"/>
      <c r="BB762" s="157"/>
      <c r="BC762" s="151"/>
      <c r="BD762" s="157"/>
      <c r="BE762" s="157"/>
      <c r="BF762" s="157"/>
      <c r="BG762" s="157"/>
      <c r="BH762" s="157"/>
      <c r="BI762" s="157"/>
      <c r="BJ762" s="353"/>
      <c r="BK762" s="353"/>
      <c r="BL762" s="353"/>
      <c r="BM762" s="14"/>
      <c r="BN762" s="14"/>
      <c r="BO762" s="14"/>
    </row>
    <row r="763" spans="1:67" ht="20.100000000000001" customHeight="1">
      <c r="A763" s="157"/>
      <c r="B763" s="1"/>
      <c r="C763" s="157"/>
      <c r="D763" s="1"/>
      <c r="E763" s="150"/>
      <c r="F763" s="150"/>
      <c r="G763" s="151"/>
      <c r="H763" s="150"/>
      <c r="I763" s="150"/>
      <c r="J763" s="151"/>
      <c r="K763" s="151"/>
      <c r="L763" s="150"/>
      <c r="M763" s="151"/>
      <c r="N763" s="151"/>
      <c r="O763" s="151"/>
      <c r="P763" s="150"/>
      <c r="Q763" s="150"/>
      <c r="R763" s="158"/>
      <c r="S763" s="158"/>
      <c r="T763" s="158"/>
      <c r="U763" s="158"/>
      <c r="V763" s="1"/>
      <c r="W763" s="1"/>
      <c r="X763" s="157"/>
      <c r="Y763" s="157"/>
      <c r="Z763" s="157"/>
      <c r="AA763" s="157"/>
      <c r="AB763" s="157"/>
      <c r="AC763" s="151"/>
      <c r="AD763" s="151"/>
      <c r="AE763" s="151"/>
      <c r="AF763" s="157"/>
      <c r="AG763" s="157"/>
      <c r="AH763" s="157"/>
      <c r="AI763" s="157"/>
      <c r="AJ763" s="157"/>
      <c r="AK763" s="157"/>
      <c r="AL763" s="157"/>
      <c r="AM763" s="157"/>
      <c r="AN763" s="159"/>
      <c r="AO763" s="159"/>
      <c r="AP763" s="160"/>
      <c r="AQ763" s="160"/>
      <c r="AR763" s="160"/>
      <c r="AS763" s="159"/>
      <c r="AT763" s="159"/>
      <c r="AU763" s="161"/>
      <c r="AV763" s="157"/>
      <c r="AW763" s="157"/>
      <c r="AX763" s="157"/>
      <c r="AY763" s="157"/>
      <c r="AZ763" s="157"/>
      <c r="BA763" s="157"/>
      <c r="BB763" s="157"/>
      <c r="BC763" s="151"/>
      <c r="BD763" s="157"/>
      <c r="BE763" s="157"/>
      <c r="BF763" s="157"/>
      <c r="BG763" s="157"/>
      <c r="BH763" s="157"/>
      <c r="BI763" s="157"/>
      <c r="BJ763" s="353"/>
      <c r="BK763" s="353"/>
      <c r="BL763" s="353"/>
      <c r="BM763" s="14"/>
      <c r="BN763" s="14"/>
      <c r="BO763" s="14"/>
    </row>
    <row r="764" spans="1:67" ht="20.100000000000001" customHeight="1">
      <c r="A764" s="157"/>
      <c r="B764" s="1"/>
      <c r="C764" s="157"/>
      <c r="D764" s="1"/>
      <c r="E764" s="150"/>
      <c r="F764" s="150"/>
      <c r="G764" s="151"/>
      <c r="H764" s="150"/>
      <c r="I764" s="150"/>
      <c r="J764" s="151"/>
      <c r="K764" s="151"/>
      <c r="L764" s="150"/>
      <c r="M764" s="151"/>
      <c r="N764" s="151"/>
      <c r="O764" s="151"/>
      <c r="P764" s="150"/>
      <c r="Q764" s="150"/>
      <c r="R764" s="158"/>
      <c r="S764" s="158"/>
      <c r="T764" s="158"/>
      <c r="U764" s="158"/>
      <c r="V764" s="1"/>
      <c r="W764" s="1"/>
      <c r="X764" s="157"/>
      <c r="Y764" s="157"/>
      <c r="Z764" s="157"/>
      <c r="AA764" s="157"/>
      <c r="AB764" s="157"/>
      <c r="AC764" s="151"/>
      <c r="AD764" s="151"/>
      <c r="AE764" s="151"/>
      <c r="AF764" s="157"/>
      <c r="AG764" s="157"/>
      <c r="AH764" s="157"/>
      <c r="AI764" s="157"/>
      <c r="AJ764" s="157"/>
      <c r="AK764" s="157"/>
      <c r="AL764" s="157"/>
      <c r="AM764" s="157"/>
      <c r="AN764" s="159"/>
      <c r="AO764" s="159"/>
      <c r="AP764" s="160"/>
      <c r="AQ764" s="160"/>
      <c r="AR764" s="160"/>
      <c r="AS764" s="159"/>
      <c r="AT764" s="159"/>
      <c r="AU764" s="161"/>
      <c r="AV764" s="157"/>
      <c r="AW764" s="157"/>
      <c r="AX764" s="157"/>
      <c r="AY764" s="157"/>
      <c r="AZ764" s="157"/>
      <c r="BA764" s="157"/>
      <c r="BB764" s="157"/>
      <c r="BC764" s="151"/>
      <c r="BD764" s="157"/>
      <c r="BE764" s="157"/>
      <c r="BF764" s="157"/>
      <c r="BG764" s="157"/>
      <c r="BH764" s="157"/>
      <c r="BI764" s="157"/>
      <c r="BJ764" s="353"/>
      <c r="BK764" s="353"/>
      <c r="BL764" s="353"/>
      <c r="BM764" s="14"/>
      <c r="BN764" s="14"/>
      <c r="BO764" s="14"/>
    </row>
    <row r="765" spans="1:67" ht="20.100000000000001" customHeight="1">
      <c r="A765" s="157"/>
      <c r="B765" s="1"/>
      <c r="C765" s="157"/>
      <c r="D765" s="1"/>
      <c r="E765" s="150"/>
      <c r="F765" s="150"/>
      <c r="G765" s="151"/>
      <c r="H765" s="150"/>
      <c r="I765" s="150"/>
      <c r="J765" s="151"/>
      <c r="K765" s="151"/>
      <c r="L765" s="150"/>
      <c r="M765" s="151"/>
      <c r="N765" s="151"/>
      <c r="O765" s="151"/>
      <c r="P765" s="150"/>
      <c r="Q765" s="150"/>
      <c r="R765" s="158"/>
      <c r="S765" s="158"/>
      <c r="T765" s="158"/>
      <c r="U765" s="158"/>
      <c r="V765" s="1"/>
      <c r="W765" s="1"/>
      <c r="X765" s="157"/>
      <c r="Y765" s="157"/>
      <c r="Z765" s="157"/>
      <c r="AA765" s="157"/>
      <c r="AB765" s="157"/>
      <c r="AC765" s="151"/>
      <c r="AD765" s="151"/>
      <c r="AE765" s="151"/>
      <c r="AF765" s="157"/>
      <c r="AG765" s="157"/>
      <c r="AH765" s="157"/>
      <c r="AI765" s="157"/>
      <c r="AJ765" s="157"/>
      <c r="AK765" s="157"/>
      <c r="AL765" s="157"/>
      <c r="AM765" s="157"/>
      <c r="AN765" s="159"/>
      <c r="AO765" s="159"/>
      <c r="AP765" s="160"/>
      <c r="AQ765" s="160"/>
      <c r="AR765" s="160"/>
      <c r="AS765" s="159"/>
      <c r="AT765" s="159"/>
      <c r="AU765" s="161"/>
      <c r="AV765" s="157"/>
      <c r="AW765" s="157"/>
      <c r="AX765" s="157"/>
      <c r="AY765" s="157"/>
      <c r="AZ765" s="157"/>
      <c r="BA765" s="157"/>
      <c r="BB765" s="157"/>
      <c r="BC765" s="151"/>
      <c r="BD765" s="157"/>
      <c r="BE765" s="157"/>
      <c r="BF765" s="157"/>
      <c r="BG765" s="157"/>
      <c r="BH765" s="157"/>
      <c r="BI765" s="157"/>
      <c r="BJ765" s="353"/>
      <c r="BK765" s="353"/>
      <c r="BL765" s="353"/>
      <c r="BM765" s="14"/>
      <c r="BN765" s="14"/>
      <c r="BO765" s="14"/>
    </row>
    <row r="766" spans="1:67" ht="20.100000000000001" customHeight="1">
      <c r="A766" s="157"/>
      <c r="B766" s="1"/>
      <c r="C766" s="157"/>
      <c r="D766" s="1"/>
      <c r="E766" s="150"/>
      <c r="F766" s="150"/>
      <c r="G766" s="151"/>
      <c r="H766" s="150"/>
      <c r="I766" s="150"/>
      <c r="J766" s="151"/>
      <c r="K766" s="151"/>
      <c r="L766" s="150"/>
      <c r="M766" s="151"/>
      <c r="N766" s="151"/>
      <c r="O766" s="151"/>
      <c r="P766" s="150"/>
      <c r="Q766" s="150"/>
      <c r="R766" s="158"/>
      <c r="S766" s="158"/>
      <c r="T766" s="158"/>
      <c r="U766" s="158"/>
      <c r="V766" s="1"/>
      <c r="W766" s="1"/>
      <c r="X766" s="157"/>
      <c r="Y766" s="157"/>
      <c r="Z766" s="157"/>
      <c r="AA766" s="157"/>
      <c r="AB766" s="157"/>
      <c r="AC766" s="151"/>
      <c r="AD766" s="151"/>
      <c r="AE766" s="151"/>
      <c r="AF766" s="157"/>
      <c r="AG766" s="157"/>
      <c r="AH766" s="157"/>
      <c r="AI766" s="157"/>
      <c r="AJ766" s="157"/>
      <c r="AK766" s="157"/>
      <c r="AL766" s="157"/>
      <c r="AM766" s="157"/>
      <c r="AN766" s="159"/>
      <c r="AO766" s="159"/>
      <c r="AP766" s="160"/>
      <c r="AQ766" s="160"/>
      <c r="AR766" s="160"/>
      <c r="AS766" s="159"/>
      <c r="AT766" s="159"/>
      <c r="AU766" s="161"/>
      <c r="AV766" s="157"/>
      <c r="AW766" s="157"/>
      <c r="AX766" s="157"/>
      <c r="AY766" s="157"/>
      <c r="AZ766" s="157"/>
      <c r="BA766" s="157"/>
      <c r="BB766" s="157"/>
      <c r="BC766" s="151"/>
      <c r="BD766" s="157"/>
      <c r="BE766" s="157"/>
      <c r="BF766" s="157"/>
      <c r="BG766" s="157"/>
      <c r="BH766" s="157"/>
      <c r="BI766" s="157"/>
      <c r="BJ766" s="353"/>
      <c r="BK766" s="353"/>
      <c r="BL766" s="353"/>
      <c r="BM766" s="14"/>
      <c r="BN766" s="14"/>
      <c r="BO766" s="14"/>
    </row>
    <row r="767" spans="1:67" ht="20.100000000000001" customHeight="1">
      <c r="A767" s="157"/>
      <c r="B767" s="1"/>
      <c r="C767" s="157"/>
      <c r="D767" s="1"/>
      <c r="E767" s="150"/>
      <c r="F767" s="150"/>
      <c r="G767" s="151"/>
      <c r="H767" s="150"/>
      <c r="I767" s="150"/>
      <c r="J767" s="151"/>
      <c r="K767" s="151"/>
      <c r="L767" s="150"/>
      <c r="M767" s="151"/>
      <c r="N767" s="151"/>
      <c r="O767" s="151"/>
      <c r="P767" s="150"/>
      <c r="Q767" s="150"/>
      <c r="R767" s="158"/>
      <c r="S767" s="158"/>
      <c r="T767" s="158"/>
      <c r="U767" s="158"/>
      <c r="V767" s="1"/>
      <c r="W767" s="1"/>
      <c r="X767" s="157"/>
      <c r="Y767" s="157"/>
      <c r="Z767" s="157"/>
      <c r="AA767" s="157"/>
      <c r="AB767" s="157"/>
      <c r="AC767" s="151"/>
      <c r="AD767" s="151"/>
      <c r="AE767" s="151"/>
      <c r="AF767" s="157"/>
      <c r="AG767" s="157"/>
      <c r="AH767" s="157"/>
      <c r="AI767" s="157"/>
      <c r="AJ767" s="157"/>
      <c r="AK767" s="157"/>
      <c r="AL767" s="157"/>
      <c r="AM767" s="157"/>
      <c r="AN767" s="159"/>
      <c r="AO767" s="159"/>
      <c r="AP767" s="160"/>
      <c r="AQ767" s="160"/>
      <c r="AR767" s="160"/>
      <c r="AS767" s="159"/>
      <c r="AT767" s="159"/>
      <c r="AU767" s="161"/>
      <c r="AV767" s="157"/>
      <c r="AW767" s="157"/>
      <c r="AX767" s="157"/>
      <c r="AY767" s="157"/>
      <c r="AZ767" s="157"/>
      <c r="BA767" s="157"/>
      <c r="BB767" s="157"/>
      <c r="BC767" s="151"/>
      <c r="BD767" s="157"/>
      <c r="BE767" s="157"/>
      <c r="BF767" s="157"/>
      <c r="BG767" s="157"/>
      <c r="BH767" s="157"/>
      <c r="BI767" s="157"/>
      <c r="BJ767" s="353"/>
      <c r="BK767" s="353"/>
      <c r="BL767" s="353"/>
      <c r="BM767" s="14"/>
      <c r="BN767" s="14"/>
      <c r="BO767" s="14"/>
    </row>
    <row r="768" spans="1:67" ht="20.100000000000001" customHeight="1">
      <c r="A768" s="157"/>
      <c r="B768" s="1"/>
      <c r="C768" s="157"/>
      <c r="D768" s="1"/>
      <c r="E768" s="150"/>
      <c r="F768" s="150"/>
      <c r="G768" s="151"/>
      <c r="H768" s="150"/>
      <c r="I768" s="150"/>
      <c r="J768" s="151"/>
      <c r="K768" s="151"/>
      <c r="L768" s="150"/>
      <c r="M768" s="151"/>
      <c r="N768" s="151"/>
      <c r="O768" s="151"/>
      <c r="P768" s="150"/>
      <c r="Q768" s="150"/>
      <c r="R768" s="158"/>
      <c r="S768" s="158"/>
      <c r="T768" s="158"/>
      <c r="U768" s="158"/>
      <c r="V768" s="1"/>
      <c r="W768" s="1"/>
      <c r="X768" s="157"/>
      <c r="Y768" s="157"/>
      <c r="Z768" s="157"/>
      <c r="AA768" s="157"/>
      <c r="AB768" s="157"/>
      <c r="AC768" s="151"/>
      <c r="AD768" s="151"/>
      <c r="AE768" s="151"/>
      <c r="AF768" s="157"/>
      <c r="AG768" s="157"/>
      <c r="AH768" s="157"/>
      <c r="AI768" s="157"/>
      <c r="AJ768" s="157"/>
      <c r="AK768" s="157"/>
      <c r="AL768" s="157"/>
      <c r="AM768" s="157"/>
      <c r="AN768" s="159"/>
      <c r="AO768" s="159"/>
      <c r="AP768" s="160"/>
      <c r="AQ768" s="160"/>
      <c r="AR768" s="160"/>
      <c r="AS768" s="159"/>
      <c r="AT768" s="159"/>
      <c r="AU768" s="161"/>
      <c r="AV768" s="157"/>
      <c r="AW768" s="157"/>
      <c r="AX768" s="157"/>
      <c r="AY768" s="157"/>
      <c r="AZ768" s="157"/>
      <c r="BA768" s="157"/>
      <c r="BB768" s="157"/>
      <c r="BC768" s="151"/>
      <c r="BD768" s="157"/>
      <c r="BE768" s="157"/>
      <c r="BF768" s="157"/>
      <c r="BG768" s="157"/>
      <c r="BH768" s="157"/>
      <c r="BI768" s="157"/>
      <c r="BJ768" s="353"/>
      <c r="BK768" s="353"/>
      <c r="BL768" s="353"/>
      <c r="BM768" s="14"/>
      <c r="BN768" s="14"/>
      <c r="BO768" s="14"/>
    </row>
    <row r="769" spans="1:67" ht="20.100000000000001" customHeight="1">
      <c r="A769" s="157"/>
      <c r="B769" s="1"/>
      <c r="C769" s="157"/>
      <c r="D769" s="1"/>
      <c r="E769" s="150"/>
      <c r="F769" s="150"/>
      <c r="G769" s="151"/>
      <c r="H769" s="150"/>
      <c r="I769" s="150"/>
      <c r="J769" s="151"/>
      <c r="K769" s="151"/>
      <c r="L769" s="150"/>
      <c r="M769" s="151"/>
      <c r="N769" s="151"/>
      <c r="O769" s="151"/>
      <c r="P769" s="150"/>
      <c r="Q769" s="150"/>
      <c r="R769" s="158"/>
      <c r="S769" s="158"/>
      <c r="T769" s="158"/>
      <c r="U769" s="158"/>
      <c r="V769" s="1"/>
      <c r="W769" s="1"/>
      <c r="X769" s="157"/>
      <c r="Y769" s="157"/>
      <c r="Z769" s="157"/>
      <c r="AA769" s="157"/>
      <c r="AB769" s="157"/>
      <c r="AC769" s="151"/>
      <c r="AD769" s="151"/>
      <c r="AE769" s="151"/>
      <c r="AF769" s="157"/>
      <c r="AG769" s="157"/>
      <c r="AH769" s="157"/>
      <c r="AI769" s="157"/>
      <c r="AJ769" s="157"/>
      <c r="AK769" s="157"/>
      <c r="AL769" s="157"/>
      <c r="AM769" s="157"/>
      <c r="AN769" s="159"/>
      <c r="AO769" s="159"/>
      <c r="AP769" s="160"/>
      <c r="AQ769" s="160"/>
      <c r="AR769" s="160"/>
      <c r="AS769" s="159"/>
      <c r="AT769" s="159"/>
      <c r="AU769" s="161"/>
      <c r="AV769" s="157"/>
      <c r="AW769" s="157"/>
      <c r="AX769" s="157"/>
      <c r="AY769" s="157"/>
      <c r="AZ769" s="157"/>
      <c r="BA769" s="157"/>
      <c r="BB769" s="157"/>
      <c r="BC769" s="151"/>
      <c r="BD769" s="157"/>
      <c r="BE769" s="157"/>
      <c r="BF769" s="157"/>
      <c r="BG769" s="157"/>
      <c r="BH769" s="157"/>
      <c r="BI769" s="157"/>
      <c r="BJ769" s="353"/>
      <c r="BK769" s="353"/>
      <c r="BL769" s="353"/>
      <c r="BM769" s="14"/>
      <c r="BN769" s="14"/>
      <c r="BO769" s="14"/>
    </row>
    <row r="770" spans="1:67" ht="20.100000000000001" customHeight="1">
      <c r="A770" s="157"/>
      <c r="B770" s="1"/>
      <c r="C770" s="157"/>
      <c r="D770" s="1"/>
      <c r="E770" s="150"/>
      <c r="F770" s="150"/>
      <c r="G770" s="151"/>
      <c r="H770" s="150"/>
      <c r="I770" s="150"/>
      <c r="J770" s="151"/>
      <c r="K770" s="151"/>
      <c r="L770" s="150"/>
      <c r="M770" s="151"/>
      <c r="N770" s="151"/>
      <c r="O770" s="151"/>
      <c r="P770" s="150"/>
      <c r="Q770" s="150"/>
      <c r="R770" s="158"/>
      <c r="S770" s="158"/>
      <c r="T770" s="158"/>
      <c r="U770" s="158"/>
      <c r="V770" s="1"/>
      <c r="W770" s="1"/>
      <c r="X770" s="157"/>
      <c r="Y770" s="157"/>
      <c r="Z770" s="157"/>
      <c r="AA770" s="157"/>
      <c r="AB770" s="157"/>
      <c r="AC770" s="151"/>
      <c r="AD770" s="151"/>
      <c r="AE770" s="151"/>
      <c r="AF770" s="157"/>
      <c r="AG770" s="157"/>
      <c r="AH770" s="157"/>
      <c r="AI770" s="157"/>
      <c r="AJ770" s="157"/>
      <c r="AK770" s="157"/>
      <c r="AL770" s="157"/>
      <c r="AM770" s="157"/>
      <c r="AN770" s="159"/>
      <c r="AO770" s="159"/>
      <c r="AP770" s="160"/>
      <c r="AQ770" s="160"/>
      <c r="AR770" s="160"/>
      <c r="AS770" s="159"/>
      <c r="AT770" s="159"/>
      <c r="AU770" s="161"/>
      <c r="AV770" s="157"/>
      <c r="AW770" s="157"/>
      <c r="AX770" s="157"/>
      <c r="AY770" s="157"/>
      <c r="AZ770" s="157"/>
      <c r="BA770" s="157"/>
      <c r="BB770" s="157"/>
      <c r="BC770" s="151"/>
      <c r="BD770" s="157"/>
      <c r="BE770" s="157"/>
      <c r="BF770" s="157"/>
      <c r="BG770" s="157"/>
      <c r="BH770" s="157"/>
      <c r="BI770" s="157"/>
      <c r="BJ770" s="353"/>
      <c r="BK770" s="353"/>
      <c r="BL770" s="353"/>
      <c r="BM770" s="14"/>
      <c r="BN770" s="14"/>
      <c r="BO770" s="14"/>
    </row>
    <row r="771" spans="1:67" ht="20.100000000000001" customHeight="1">
      <c r="A771" s="157"/>
      <c r="B771" s="1"/>
      <c r="C771" s="157"/>
      <c r="D771" s="1"/>
      <c r="E771" s="150"/>
      <c r="F771" s="150"/>
      <c r="G771" s="151"/>
      <c r="H771" s="150"/>
      <c r="I771" s="150"/>
      <c r="J771" s="151"/>
      <c r="K771" s="151"/>
      <c r="L771" s="150"/>
      <c r="M771" s="151"/>
      <c r="N771" s="151"/>
      <c r="O771" s="151"/>
      <c r="P771" s="150"/>
      <c r="Q771" s="150"/>
      <c r="R771" s="158"/>
      <c r="S771" s="158"/>
      <c r="T771" s="158"/>
      <c r="U771" s="158"/>
      <c r="V771" s="1"/>
      <c r="W771" s="1"/>
      <c r="X771" s="157"/>
      <c r="Y771" s="157"/>
      <c r="Z771" s="157"/>
      <c r="AA771" s="157"/>
      <c r="AB771" s="157"/>
      <c r="AC771" s="151"/>
      <c r="AD771" s="151"/>
      <c r="AE771" s="151"/>
      <c r="AF771" s="157"/>
      <c r="AG771" s="157"/>
      <c r="AH771" s="157"/>
      <c r="AI771" s="157"/>
      <c r="AJ771" s="157"/>
      <c r="AK771" s="157"/>
      <c r="AL771" s="157"/>
      <c r="AM771" s="157"/>
      <c r="AN771" s="159"/>
      <c r="AO771" s="159"/>
      <c r="AP771" s="160"/>
      <c r="AQ771" s="160"/>
      <c r="AR771" s="160"/>
      <c r="AS771" s="159"/>
      <c r="AT771" s="159"/>
      <c r="AU771" s="161"/>
      <c r="AV771" s="157"/>
      <c r="AW771" s="157"/>
      <c r="AX771" s="157"/>
      <c r="AY771" s="157"/>
      <c r="AZ771" s="157"/>
      <c r="BA771" s="157"/>
      <c r="BB771" s="157"/>
      <c r="BC771" s="151"/>
      <c r="BD771" s="157"/>
      <c r="BE771" s="157"/>
      <c r="BF771" s="157"/>
      <c r="BG771" s="157"/>
      <c r="BH771" s="157"/>
      <c r="BI771" s="157"/>
      <c r="BJ771" s="353"/>
      <c r="BK771" s="353"/>
      <c r="BL771" s="353"/>
      <c r="BM771" s="14"/>
      <c r="BN771" s="14"/>
      <c r="BO771" s="14"/>
    </row>
    <row r="772" spans="1:67" ht="20.100000000000001" customHeight="1">
      <c r="A772" s="157"/>
      <c r="B772" s="1"/>
      <c r="C772" s="157"/>
      <c r="D772" s="1"/>
      <c r="E772" s="150"/>
      <c r="F772" s="150"/>
      <c r="G772" s="151"/>
      <c r="H772" s="150"/>
      <c r="I772" s="150"/>
      <c r="J772" s="151"/>
      <c r="K772" s="151"/>
      <c r="L772" s="150"/>
      <c r="M772" s="151"/>
      <c r="N772" s="151"/>
      <c r="O772" s="151"/>
      <c r="P772" s="150"/>
      <c r="Q772" s="150"/>
      <c r="R772" s="158"/>
      <c r="S772" s="158"/>
      <c r="T772" s="158"/>
      <c r="U772" s="158"/>
      <c r="V772" s="1"/>
      <c r="W772" s="1"/>
      <c r="X772" s="157"/>
      <c r="Y772" s="157"/>
      <c r="Z772" s="157"/>
      <c r="AA772" s="157"/>
      <c r="AB772" s="157"/>
      <c r="AC772" s="151"/>
      <c r="AD772" s="151"/>
      <c r="AE772" s="151"/>
      <c r="AF772" s="157"/>
      <c r="AG772" s="157"/>
      <c r="AH772" s="157"/>
      <c r="AI772" s="157"/>
      <c r="AJ772" s="157"/>
      <c r="AK772" s="157"/>
      <c r="AL772" s="157"/>
      <c r="AM772" s="157"/>
      <c r="AN772" s="159"/>
      <c r="AO772" s="159"/>
      <c r="AP772" s="160"/>
      <c r="AQ772" s="160"/>
      <c r="AR772" s="160"/>
      <c r="AS772" s="159"/>
      <c r="AT772" s="159"/>
      <c r="AU772" s="161"/>
      <c r="AV772" s="157"/>
      <c r="AW772" s="157"/>
      <c r="AX772" s="157"/>
      <c r="AY772" s="157"/>
      <c r="AZ772" s="157"/>
      <c r="BA772" s="157"/>
      <c r="BB772" s="157"/>
      <c r="BC772" s="151"/>
      <c r="BD772" s="157"/>
      <c r="BE772" s="157"/>
      <c r="BF772" s="157"/>
      <c r="BG772" s="157"/>
      <c r="BH772" s="157"/>
      <c r="BI772" s="157"/>
      <c r="BJ772" s="353"/>
      <c r="BK772" s="353"/>
      <c r="BL772" s="353"/>
      <c r="BM772" s="14"/>
      <c r="BN772" s="14"/>
      <c r="BO772" s="14"/>
    </row>
    <row r="773" spans="1:67" ht="20.100000000000001" customHeight="1">
      <c r="A773" s="157"/>
      <c r="B773" s="1"/>
      <c r="C773" s="157"/>
      <c r="D773" s="1"/>
      <c r="E773" s="150"/>
      <c r="F773" s="150"/>
      <c r="G773" s="151"/>
      <c r="H773" s="150"/>
      <c r="I773" s="150"/>
      <c r="J773" s="151"/>
      <c r="K773" s="151"/>
      <c r="L773" s="150"/>
      <c r="M773" s="151"/>
      <c r="N773" s="151"/>
      <c r="O773" s="151"/>
      <c r="P773" s="150"/>
      <c r="Q773" s="150"/>
      <c r="R773" s="158"/>
      <c r="S773" s="158"/>
      <c r="T773" s="158"/>
      <c r="U773" s="158"/>
      <c r="V773" s="1"/>
      <c r="W773" s="1"/>
      <c r="X773" s="157"/>
      <c r="Y773" s="157"/>
      <c r="Z773" s="157"/>
      <c r="AA773" s="157"/>
      <c r="AB773" s="157"/>
      <c r="AC773" s="151"/>
      <c r="AD773" s="151"/>
      <c r="AE773" s="151"/>
      <c r="AF773" s="157"/>
      <c r="AG773" s="157"/>
      <c r="AH773" s="157"/>
      <c r="AI773" s="157"/>
      <c r="AJ773" s="157"/>
      <c r="AK773" s="157"/>
      <c r="AL773" s="157"/>
      <c r="AM773" s="157"/>
      <c r="AN773" s="159"/>
      <c r="AO773" s="159"/>
      <c r="AP773" s="160"/>
      <c r="AQ773" s="160"/>
      <c r="AR773" s="160"/>
      <c r="AS773" s="159"/>
      <c r="AT773" s="159"/>
      <c r="AU773" s="161"/>
      <c r="AV773" s="157"/>
      <c r="AW773" s="157"/>
      <c r="AX773" s="157"/>
      <c r="AY773" s="157"/>
      <c r="AZ773" s="157"/>
      <c r="BA773" s="157"/>
      <c r="BB773" s="157"/>
      <c r="BC773" s="151"/>
      <c r="BD773" s="157"/>
      <c r="BE773" s="157"/>
      <c r="BF773" s="157"/>
      <c r="BG773" s="157"/>
      <c r="BH773" s="157"/>
      <c r="BI773" s="157"/>
      <c r="BJ773" s="353"/>
      <c r="BK773" s="353"/>
      <c r="BL773" s="353"/>
      <c r="BM773" s="14"/>
      <c r="BN773" s="14"/>
      <c r="BO773" s="14"/>
    </row>
    <row r="774" spans="1:67" ht="20.100000000000001" customHeight="1">
      <c r="A774" s="157"/>
      <c r="B774" s="1"/>
      <c r="C774" s="157"/>
      <c r="D774" s="1"/>
      <c r="E774" s="150"/>
      <c r="F774" s="150"/>
      <c r="G774" s="151"/>
      <c r="H774" s="150"/>
      <c r="I774" s="150"/>
      <c r="J774" s="151"/>
      <c r="K774" s="151"/>
      <c r="L774" s="150"/>
      <c r="M774" s="151"/>
      <c r="N774" s="151"/>
      <c r="O774" s="151"/>
      <c r="P774" s="150"/>
      <c r="Q774" s="150"/>
      <c r="R774" s="158"/>
      <c r="S774" s="158"/>
      <c r="T774" s="158"/>
      <c r="U774" s="158"/>
      <c r="V774" s="1"/>
      <c r="W774" s="1"/>
      <c r="X774" s="157"/>
      <c r="Y774" s="157"/>
      <c r="Z774" s="157"/>
      <c r="AA774" s="157"/>
      <c r="AB774" s="157"/>
      <c r="AC774" s="151"/>
      <c r="AD774" s="151"/>
      <c r="AE774" s="151"/>
      <c r="AF774" s="157"/>
      <c r="AG774" s="157"/>
      <c r="AH774" s="157"/>
      <c r="AI774" s="157"/>
      <c r="AJ774" s="157"/>
      <c r="AK774" s="157"/>
      <c r="AL774" s="157"/>
      <c r="AM774" s="157"/>
      <c r="AN774" s="159"/>
      <c r="AO774" s="159"/>
      <c r="AP774" s="160"/>
      <c r="AQ774" s="160"/>
      <c r="AR774" s="160"/>
      <c r="AS774" s="159"/>
      <c r="AT774" s="159"/>
      <c r="AU774" s="161"/>
      <c r="AV774" s="157"/>
      <c r="AW774" s="157"/>
      <c r="AX774" s="157"/>
      <c r="AY774" s="157"/>
      <c r="AZ774" s="157"/>
      <c r="BA774" s="157"/>
      <c r="BB774" s="157"/>
      <c r="BC774" s="151"/>
      <c r="BD774" s="157"/>
      <c r="BE774" s="157"/>
      <c r="BF774" s="157"/>
      <c r="BG774" s="157"/>
      <c r="BH774" s="157"/>
      <c r="BI774" s="157"/>
      <c r="BJ774" s="353"/>
      <c r="BK774" s="353"/>
      <c r="BL774" s="353"/>
      <c r="BM774" s="14"/>
      <c r="BN774" s="14"/>
      <c r="BO774" s="14"/>
    </row>
    <row r="775" spans="1:67" ht="20.100000000000001" customHeight="1">
      <c r="A775" s="157"/>
      <c r="B775" s="1"/>
      <c r="C775" s="157"/>
      <c r="D775" s="1"/>
      <c r="E775" s="150"/>
      <c r="F775" s="150"/>
      <c r="G775" s="151"/>
      <c r="H775" s="150"/>
      <c r="I775" s="150"/>
      <c r="J775" s="151"/>
      <c r="K775" s="151"/>
      <c r="L775" s="150"/>
      <c r="M775" s="151"/>
      <c r="N775" s="151"/>
      <c r="O775" s="151"/>
      <c r="P775" s="150"/>
      <c r="Q775" s="150"/>
      <c r="R775" s="158"/>
      <c r="S775" s="158"/>
      <c r="T775" s="158"/>
      <c r="U775" s="158"/>
      <c r="V775" s="1"/>
      <c r="W775" s="1"/>
      <c r="X775" s="157"/>
      <c r="Y775" s="157"/>
      <c r="Z775" s="157"/>
      <c r="AA775" s="157"/>
      <c r="AB775" s="157"/>
      <c r="AC775" s="151"/>
      <c r="AD775" s="151"/>
      <c r="AE775" s="151"/>
      <c r="AF775" s="157"/>
      <c r="AG775" s="157"/>
      <c r="AH775" s="157"/>
      <c r="AI775" s="157"/>
      <c r="AJ775" s="157"/>
      <c r="AK775" s="157"/>
      <c r="AL775" s="157"/>
      <c r="AM775" s="157"/>
      <c r="AN775" s="159"/>
      <c r="AO775" s="159"/>
      <c r="AP775" s="160"/>
      <c r="AQ775" s="160"/>
      <c r="AR775" s="160"/>
      <c r="AS775" s="159"/>
      <c r="AT775" s="159"/>
      <c r="AU775" s="161"/>
      <c r="AV775" s="157"/>
      <c r="AW775" s="157"/>
      <c r="AX775" s="157"/>
      <c r="AY775" s="157"/>
      <c r="AZ775" s="157"/>
      <c r="BA775" s="157"/>
      <c r="BB775" s="157"/>
      <c r="BC775" s="151"/>
      <c r="BD775" s="157"/>
      <c r="BE775" s="157"/>
      <c r="BF775" s="157"/>
      <c r="BG775" s="157"/>
      <c r="BH775" s="157"/>
      <c r="BI775" s="157"/>
      <c r="BJ775" s="353"/>
      <c r="BK775" s="353"/>
      <c r="BL775" s="353"/>
      <c r="BM775" s="14"/>
      <c r="BN775" s="14"/>
      <c r="BO775" s="14"/>
    </row>
    <row r="776" spans="1:67" ht="20.100000000000001" customHeight="1">
      <c r="A776" s="157"/>
      <c r="B776" s="1"/>
      <c r="C776" s="157"/>
      <c r="D776" s="1"/>
      <c r="E776" s="150"/>
      <c r="F776" s="150"/>
      <c r="G776" s="151"/>
      <c r="H776" s="150"/>
      <c r="I776" s="150"/>
      <c r="J776" s="151"/>
      <c r="K776" s="151"/>
      <c r="L776" s="150"/>
      <c r="M776" s="151"/>
      <c r="N776" s="151"/>
      <c r="O776" s="151"/>
      <c r="P776" s="150"/>
      <c r="Q776" s="150"/>
      <c r="R776" s="158"/>
      <c r="S776" s="158"/>
      <c r="T776" s="158"/>
      <c r="U776" s="158"/>
      <c r="V776" s="1"/>
      <c r="W776" s="1"/>
      <c r="X776" s="157"/>
      <c r="Y776" s="157"/>
      <c r="Z776" s="157"/>
      <c r="AA776" s="157"/>
      <c r="AB776" s="157"/>
      <c r="AC776" s="151"/>
      <c r="AD776" s="151"/>
      <c r="AE776" s="151"/>
      <c r="AF776" s="157"/>
      <c r="AG776" s="157"/>
      <c r="AH776" s="157"/>
      <c r="AI776" s="157"/>
      <c r="AJ776" s="157"/>
      <c r="AK776" s="157"/>
      <c r="AL776" s="157"/>
      <c r="AM776" s="157"/>
      <c r="AN776" s="159"/>
      <c r="AO776" s="159"/>
      <c r="AP776" s="160"/>
      <c r="AQ776" s="160"/>
      <c r="AR776" s="160"/>
      <c r="AS776" s="159"/>
      <c r="AT776" s="159"/>
      <c r="AU776" s="161"/>
      <c r="AV776" s="157"/>
      <c r="AW776" s="157"/>
      <c r="AX776" s="157"/>
      <c r="AY776" s="157"/>
      <c r="AZ776" s="157"/>
      <c r="BA776" s="157"/>
      <c r="BB776" s="157"/>
      <c r="BC776" s="151"/>
      <c r="BD776" s="157"/>
      <c r="BE776" s="157"/>
      <c r="BF776" s="157"/>
      <c r="BG776" s="157"/>
      <c r="BH776" s="157"/>
      <c r="BI776" s="157"/>
      <c r="BJ776" s="353"/>
      <c r="BK776" s="353"/>
      <c r="BL776" s="353"/>
      <c r="BM776" s="14"/>
      <c r="BN776" s="14"/>
      <c r="BO776" s="14"/>
    </row>
    <row r="777" spans="1:67" ht="20.100000000000001" customHeight="1">
      <c r="A777" s="157"/>
      <c r="B777" s="1"/>
      <c r="C777" s="157"/>
      <c r="D777" s="1"/>
      <c r="E777" s="150"/>
      <c r="F777" s="150"/>
      <c r="G777" s="151"/>
      <c r="H777" s="150"/>
      <c r="I777" s="150"/>
      <c r="J777" s="151"/>
      <c r="K777" s="151"/>
      <c r="L777" s="150"/>
      <c r="M777" s="151"/>
      <c r="N777" s="151"/>
      <c r="O777" s="151"/>
      <c r="P777" s="150"/>
      <c r="Q777" s="150"/>
      <c r="R777" s="158"/>
      <c r="S777" s="158"/>
      <c r="T777" s="158"/>
      <c r="U777" s="158"/>
      <c r="V777" s="1"/>
      <c r="W777" s="1"/>
      <c r="X777" s="157"/>
      <c r="Y777" s="157"/>
      <c r="Z777" s="157"/>
      <c r="AA777" s="157"/>
      <c r="AB777" s="157"/>
      <c r="AC777" s="151"/>
      <c r="AD777" s="151"/>
      <c r="AE777" s="151"/>
      <c r="AF777" s="157"/>
      <c r="AG777" s="157"/>
      <c r="AH777" s="157"/>
      <c r="AI777" s="157"/>
      <c r="AJ777" s="157"/>
      <c r="AK777" s="157"/>
      <c r="AL777" s="157"/>
      <c r="AM777" s="157"/>
      <c r="AN777" s="159"/>
      <c r="AO777" s="159"/>
      <c r="AP777" s="160"/>
      <c r="AQ777" s="160"/>
      <c r="AR777" s="160"/>
      <c r="AS777" s="159"/>
      <c r="AT777" s="159"/>
      <c r="AU777" s="161"/>
      <c r="AV777" s="157"/>
      <c r="AW777" s="157"/>
      <c r="AX777" s="157"/>
      <c r="AY777" s="157"/>
      <c r="AZ777" s="157"/>
      <c r="BA777" s="157"/>
      <c r="BB777" s="157"/>
      <c r="BC777" s="151"/>
      <c r="BD777" s="157"/>
      <c r="BE777" s="157"/>
      <c r="BF777" s="157"/>
      <c r="BG777" s="157"/>
      <c r="BH777" s="157"/>
      <c r="BI777" s="157"/>
      <c r="BJ777" s="353"/>
      <c r="BK777" s="353"/>
      <c r="BL777" s="353"/>
      <c r="BM777" s="14"/>
      <c r="BN777" s="14"/>
      <c r="BO777" s="14"/>
    </row>
    <row r="778" spans="1:67" ht="20.100000000000001" customHeight="1">
      <c r="A778" s="157"/>
      <c r="B778" s="1"/>
      <c r="C778" s="157"/>
      <c r="D778" s="1"/>
      <c r="E778" s="150"/>
      <c r="F778" s="150"/>
      <c r="G778" s="151"/>
      <c r="H778" s="150"/>
      <c r="I778" s="150"/>
      <c r="J778" s="151"/>
      <c r="K778" s="151"/>
      <c r="L778" s="150"/>
      <c r="M778" s="151"/>
      <c r="N778" s="151"/>
      <c r="O778" s="151"/>
      <c r="P778" s="150"/>
      <c r="Q778" s="150"/>
      <c r="R778" s="158"/>
      <c r="S778" s="158"/>
      <c r="T778" s="158"/>
      <c r="U778" s="158"/>
      <c r="V778" s="1"/>
      <c r="W778" s="1"/>
      <c r="X778" s="157"/>
      <c r="Y778" s="157"/>
      <c r="Z778" s="157"/>
      <c r="AA778" s="157"/>
      <c r="AB778" s="157"/>
      <c r="AC778" s="151"/>
      <c r="AD778" s="151"/>
      <c r="AE778" s="151"/>
      <c r="AF778" s="157"/>
      <c r="AG778" s="157"/>
      <c r="AH778" s="157"/>
      <c r="AI778" s="157"/>
      <c r="AJ778" s="157"/>
      <c r="AK778" s="157"/>
      <c r="AL778" s="157"/>
      <c r="AM778" s="157"/>
      <c r="AN778" s="159"/>
      <c r="AO778" s="159"/>
      <c r="AP778" s="160"/>
      <c r="AQ778" s="160"/>
      <c r="AR778" s="160"/>
      <c r="AS778" s="159"/>
      <c r="AT778" s="159"/>
      <c r="AU778" s="161"/>
      <c r="AV778" s="157"/>
      <c r="AW778" s="157"/>
      <c r="AX778" s="157"/>
      <c r="AY778" s="157"/>
      <c r="AZ778" s="157"/>
      <c r="BA778" s="157"/>
      <c r="BB778" s="157"/>
      <c r="BC778" s="151"/>
      <c r="BD778" s="157"/>
      <c r="BE778" s="157"/>
      <c r="BF778" s="157"/>
      <c r="BG778" s="157"/>
      <c r="BH778" s="157"/>
      <c r="BI778" s="157"/>
      <c r="BJ778" s="353"/>
      <c r="BK778" s="353"/>
      <c r="BL778" s="353"/>
      <c r="BM778" s="14"/>
      <c r="BN778" s="14"/>
      <c r="BO778" s="14"/>
    </row>
    <row r="779" spans="1:67" ht="20.100000000000001" customHeight="1">
      <c r="A779" s="157"/>
      <c r="B779" s="1"/>
      <c r="C779" s="157"/>
      <c r="D779" s="1"/>
      <c r="E779" s="150"/>
      <c r="F779" s="150"/>
      <c r="G779" s="151"/>
      <c r="H779" s="150"/>
      <c r="I779" s="150"/>
      <c r="J779" s="151"/>
      <c r="K779" s="151"/>
      <c r="L779" s="150"/>
      <c r="M779" s="151"/>
      <c r="N779" s="151"/>
      <c r="O779" s="151"/>
      <c r="P779" s="150"/>
      <c r="Q779" s="150"/>
      <c r="R779" s="158"/>
      <c r="S779" s="158"/>
      <c r="T779" s="158"/>
      <c r="U779" s="158"/>
      <c r="V779" s="1"/>
      <c r="W779" s="1"/>
      <c r="X779" s="157"/>
      <c r="Y779" s="157"/>
      <c r="Z779" s="157"/>
      <c r="AA779" s="157"/>
      <c r="AB779" s="157"/>
      <c r="AC779" s="151"/>
      <c r="AD779" s="151"/>
      <c r="AE779" s="151"/>
      <c r="AF779" s="157"/>
      <c r="AG779" s="157"/>
      <c r="AH779" s="157"/>
      <c r="AI779" s="157"/>
      <c r="AJ779" s="157"/>
      <c r="AK779" s="157"/>
      <c r="AL779" s="157"/>
      <c r="AM779" s="157"/>
      <c r="AN779" s="159"/>
      <c r="AO779" s="159"/>
      <c r="AP779" s="160"/>
      <c r="AQ779" s="160"/>
      <c r="AR779" s="160"/>
      <c r="AS779" s="159"/>
      <c r="AT779" s="159"/>
      <c r="AU779" s="161"/>
      <c r="AV779" s="157"/>
      <c r="AW779" s="157"/>
      <c r="AX779" s="157"/>
      <c r="AY779" s="157"/>
      <c r="AZ779" s="157"/>
      <c r="BA779" s="157"/>
      <c r="BB779" s="157"/>
      <c r="BC779" s="151"/>
      <c r="BD779" s="157"/>
      <c r="BE779" s="157"/>
      <c r="BF779" s="157"/>
      <c r="BG779" s="157"/>
      <c r="BH779" s="157"/>
      <c r="BI779" s="157"/>
      <c r="BJ779" s="353"/>
      <c r="BK779" s="353"/>
      <c r="BL779" s="353"/>
      <c r="BM779" s="14"/>
      <c r="BN779" s="14"/>
      <c r="BO779" s="14"/>
    </row>
    <row r="780" spans="1:67" ht="20.100000000000001" customHeight="1">
      <c r="A780" s="157"/>
      <c r="B780" s="1"/>
      <c r="C780" s="157"/>
      <c r="D780" s="1"/>
      <c r="E780" s="150"/>
      <c r="F780" s="150"/>
      <c r="G780" s="151"/>
      <c r="H780" s="150"/>
      <c r="I780" s="150"/>
      <c r="J780" s="151"/>
      <c r="K780" s="151"/>
      <c r="L780" s="150"/>
      <c r="M780" s="151"/>
      <c r="N780" s="151"/>
      <c r="O780" s="151"/>
      <c r="P780" s="150"/>
      <c r="Q780" s="150"/>
      <c r="R780" s="158"/>
      <c r="S780" s="158"/>
      <c r="T780" s="158"/>
      <c r="U780" s="158"/>
      <c r="V780" s="1"/>
      <c r="W780" s="1"/>
      <c r="X780" s="157"/>
      <c r="Y780" s="157"/>
      <c r="Z780" s="157"/>
      <c r="AA780" s="157"/>
      <c r="AB780" s="157"/>
      <c r="AC780" s="151"/>
      <c r="AD780" s="151"/>
      <c r="AE780" s="151"/>
      <c r="AF780" s="157"/>
      <c r="AG780" s="157"/>
      <c r="AH780" s="157"/>
      <c r="AI780" s="157"/>
      <c r="AJ780" s="157"/>
      <c r="AK780" s="157"/>
      <c r="AL780" s="157"/>
      <c r="AM780" s="157"/>
      <c r="AN780" s="159"/>
      <c r="AO780" s="159"/>
      <c r="AP780" s="160"/>
      <c r="AQ780" s="160"/>
      <c r="AR780" s="160"/>
      <c r="AS780" s="159"/>
      <c r="AT780" s="159"/>
      <c r="AU780" s="161"/>
      <c r="AV780" s="157"/>
      <c r="AW780" s="157"/>
      <c r="AX780" s="157"/>
      <c r="AY780" s="157"/>
      <c r="AZ780" s="157"/>
      <c r="BA780" s="157"/>
      <c r="BB780" s="157"/>
      <c r="BC780" s="151"/>
      <c r="BD780" s="157"/>
      <c r="BE780" s="157"/>
      <c r="BF780" s="157"/>
      <c r="BG780" s="157"/>
      <c r="BH780" s="157"/>
      <c r="BI780" s="157"/>
      <c r="BJ780" s="353"/>
      <c r="BK780" s="353"/>
      <c r="BL780" s="353"/>
      <c r="BM780" s="14"/>
      <c r="BN780" s="14"/>
      <c r="BO780" s="14"/>
    </row>
    <row r="781" spans="1:67" ht="20.100000000000001" customHeight="1">
      <c r="A781" s="157"/>
      <c r="B781" s="1"/>
      <c r="C781" s="157"/>
      <c r="D781" s="1"/>
      <c r="E781" s="150"/>
      <c r="F781" s="150"/>
      <c r="G781" s="151"/>
      <c r="H781" s="150"/>
      <c r="I781" s="150"/>
      <c r="J781" s="151"/>
      <c r="K781" s="151"/>
      <c r="L781" s="150"/>
      <c r="M781" s="151"/>
      <c r="N781" s="151"/>
      <c r="O781" s="151"/>
      <c r="P781" s="150"/>
      <c r="Q781" s="150"/>
      <c r="R781" s="158"/>
      <c r="S781" s="158"/>
      <c r="T781" s="158"/>
      <c r="U781" s="158"/>
      <c r="V781" s="1"/>
      <c r="W781" s="1"/>
      <c r="X781" s="157"/>
      <c r="Y781" s="157"/>
      <c r="Z781" s="157"/>
      <c r="AA781" s="157"/>
      <c r="AB781" s="157"/>
      <c r="AC781" s="151"/>
      <c r="AD781" s="151"/>
      <c r="AE781" s="151"/>
      <c r="AF781" s="157"/>
      <c r="AG781" s="157"/>
      <c r="AH781" s="157"/>
      <c r="AI781" s="157"/>
      <c r="AJ781" s="157"/>
      <c r="AK781" s="157"/>
      <c r="AL781" s="157"/>
      <c r="AM781" s="157"/>
      <c r="AN781" s="159"/>
      <c r="AO781" s="159"/>
      <c r="AP781" s="160"/>
      <c r="AQ781" s="160"/>
      <c r="AR781" s="160"/>
      <c r="AS781" s="159"/>
      <c r="AT781" s="159"/>
      <c r="AU781" s="161"/>
      <c r="AV781" s="157"/>
      <c r="AW781" s="157"/>
      <c r="AX781" s="157"/>
      <c r="AY781" s="157"/>
      <c r="AZ781" s="157"/>
      <c r="BA781" s="157"/>
      <c r="BB781" s="157"/>
      <c r="BC781" s="151"/>
      <c r="BD781" s="157"/>
      <c r="BE781" s="157"/>
      <c r="BF781" s="157"/>
      <c r="BG781" s="157"/>
      <c r="BH781" s="157"/>
      <c r="BI781" s="157"/>
      <c r="BJ781" s="353"/>
      <c r="BK781" s="353"/>
      <c r="BL781" s="353"/>
      <c r="BM781" s="14"/>
      <c r="BN781" s="14"/>
      <c r="BO781" s="14"/>
    </row>
    <row r="782" spans="1:67" ht="20.100000000000001" customHeight="1">
      <c r="A782" s="157"/>
      <c r="B782" s="1"/>
      <c r="C782" s="157"/>
      <c r="D782" s="1"/>
      <c r="E782" s="150"/>
      <c r="F782" s="150"/>
      <c r="G782" s="151"/>
      <c r="H782" s="150"/>
      <c r="I782" s="150"/>
      <c r="J782" s="151"/>
      <c r="K782" s="151"/>
      <c r="L782" s="150"/>
      <c r="M782" s="151"/>
      <c r="N782" s="151"/>
      <c r="O782" s="151"/>
      <c r="P782" s="150"/>
      <c r="Q782" s="150"/>
      <c r="R782" s="158"/>
      <c r="S782" s="158"/>
      <c r="T782" s="158"/>
      <c r="U782" s="158"/>
      <c r="V782" s="1"/>
      <c r="W782" s="1"/>
      <c r="X782" s="157"/>
      <c r="Y782" s="157"/>
      <c r="Z782" s="157"/>
      <c r="AA782" s="157"/>
      <c r="AB782" s="157"/>
      <c r="AC782" s="151"/>
      <c r="AD782" s="151"/>
      <c r="AE782" s="151"/>
      <c r="AF782" s="157"/>
      <c r="AG782" s="157"/>
      <c r="AH782" s="157"/>
      <c r="AI782" s="157"/>
      <c r="AJ782" s="157"/>
      <c r="AK782" s="157"/>
      <c r="AL782" s="157"/>
      <c r="AM782" s="157"/>
      <c r="AN782" s="159"/>
      <c r="AO782" s="159"/>
      <c r="AP782" s="160"/>
      <c r="AQ782" s="160"/>
      <c r="AR782" s="160"/>
      <c r="AS782" s="159"/>
      <c r="AT782" s="159"/>
      <c r="AU782" s="161"/>
      <c r="AV782" s="157"/>
      <c r="AW782" s="157"/>
      <c r="AX782" s="157"/>
      <c r="AY782" s="157"/>
      <c r="AZ782" s="157"/>
      <c r="BA782" s="157"/>
      <c r="BB782" s="157"/>
      <c r="BC782" s="151"/>
      <c r="BD782" s="157"/>
      <c r="BE782" s="157"/>
      <c r="BF782" s="157"/>
      <c r="BG782" s="157"/>
      <c r="BH782" s="157"/>
      <c r="BI782" s="157"/>
      <c r="BJ782" s="353"/>
      <c r="BK782" s="353"/>
      <c r="BL782" s="353"/>
      <c r="BM782" s="14"/>
      <c r="BN782" s="14"/>
      <c r="BO782" s="14"/>
    </row>
    <row r="783" spans="1:67" ht="20.100000000000001" customHeight="1">
      <c r="A783" s="157"/>
      <c r="B783" s="1"/>
      <c r="C783" s="157"/>
      <c r="D783" s="1"/>
      <c r="E783" s="150"/>
      <c r="F783" s="150"/>
      <c r="G783" s="151"/>
      <c r="H783" s="150"/>
      <c r="I783" s="150"/>
      <c r="J783" s="151"/>
      <c r="K783" s="151"/>
      <c r="L783" s="150"/>
      <c r="M783" s="151"/>
      <c r="N783" s="151"/>
      <c r="O783" s="151"/>
      <c r="P783" s="150"/>
      <c r="Q783" s="150"/>
      <c r="R783" s="158"/>
      <c r="S783" s="158"/>
      <c r="T783" s="158"/>
      <c r="U783" s="158"/>
      <c r="V783" s="1"/>
      <c r="W783" s="1"/>
      <c r="X783" s="157"/>
      <c r="Y783" s="157"/>
      <c r="Z783" s="157"/>
      <c r="AA783" s="157"/>
      <c r="AB783" s="157"/>
      <c r="AC783" s="151"/>
      <c r="AD783" s="151"/>
      <c r="AE783" s="151"/>
      <c r="AF783" s="157"/>
      <c r="AG783" s="157"/>
      <c r="AH783" s="157"/>
      <c r="AI783" s="157"/>
      <c r="AJ783" s="157"/>
      <c r="AK783" s="157"/>
      <c r="AL783" s="157"/>
      <c r="AM783" s="157"/>
      <c r="AN783" s="159"/>
      <c r="AO783" s="159"/>
      <c r="AP783" s="160"/>
      <c r="AQ783" s="160"/>
      <c r="AR783" s="160"/>
      <c r="AS783" s="159"/>
      <c r="AT783" s="159"/>
      <c r="AU783" s="161"/>
      <c r="AV783" s="157"/>
      <c r="AW783" s="157"/>
      <c r="AX783" s="157"/>
      <c r="AY783" s="157"/>
      <c r="AZ783" s="157"/>
      <c r="BA783" s="157"/>
      <c r="BB783" s="157"/>
      <c r="BC783" s="151"/>
      <c r="BD783" s="157"/>
      <c r="BE783" s="157"/>
      <c r="BF783" s="157"/>
      <c r="BG783" s="157"/>
      <c r="BH783" s="157"/>
      <c r="BI783" s="157"/>
      <c r="BJ783" s="353"/>
      <c r="BK783" s="353"/>
      <c r="BL783" s="353"/>
      <c r="BM783" s="14"/>
      <c r="BN783" s="14"/>
      <c r="BO783" s="14"/>
    </row>
    <row r="784" spans="1:67" ht="20.100000000000001" customHeight="1">
      <c r="A784" s="157"/>
      <c r="B784" s="1"/>
      <c r="C784" s="157"/>
      <c r="D784" s="1"/>
      <c r="E784" s="150"/>
      <c r="F784" s="150"/>
      <c r="G784" s="151"/>
      <c r="H784" s="150"/>
      <c r="I784" s="150"/>
      <c r="J784" s="151"/>
      <c r="K784" s="151"/>
      <c r="L784" s="150"/>
      <c r="M784" s="151"/>
      <c r="N784" s="151"/>
      <c r="O784" s="151"/>
      <c r="P784" s="150"/>
      <c r="Q784" s="150"/>
      <c r="R784" s="158"/>
      <c r="S784" s="158"/>
      <c r="T784" s="158"/>
      <c r="U784" s="158"/>
      <c r="V784" s="1"/>
      <c r="W784" s="1"/>
      <c r="X784" s="157"/>
      <c r="Y784" s="157"/>
      <c r="Z784" s="157"/>
      <c r="AA784" s="157"/>
      <c r="AB784" s="157"/>
      <c r="AC784" s="151"/>
      <c r="AD784" s="151"/>
      <c r="AE784" s="151"/>
      <c r="AF784" s="157"/>
      <c r="AG784" s="157"/>
      <c r="AH784" s="157"/>
      <c r="AI784" s="157"/>
      <c r="AJ784" s="157"/>
      <c r="AK784" s="157"/>
      <c r="AL784" s="157"/>
      <c r="AM784" s="157"/>
      <c r="AN784" s="159"/>
      <c r="AO784" s="159"/>
      <c r="AP784" s="160"/>
      <c r="AQ784" s="160"/>
      <c r="AR784" s="160"/>
      <c r="AS784" s="159"/>
      <c r="AT784" s="159"/>
      <c r="AU784" s="161"/>
      <c r="AV784" s="157"/>
      <c r="AW784" s="157"/>
      <c r="AX784" s="157"/>
      <c r="AY784" s="157"/>
      <c r="AZ784" s="157"/>
      <c r="BA784" s="157"/>
      <c r="BB784" s="157"/>
      <c r="BC784" s="151"/>
      <c r="BD784" s="157"/>
      <c r="BE784" s="157"/>
      <c r="BF784" s="157"/>
      <c r="BG784" s="157"/>
      <c r="BH784" s="157"/>
      <c r="BI784" s="157"/>
      <c r="BJ784" s="353"/>
      <c r="BK784" s="353"/>
      <c r="BL784" s="353"/>
      <c r="BM784" s="14"/>
      <c r="BN784" s="14"/>
      <c r="BO784" s="14"/>
    </row>
    <row r="785" spans="1:67" ht="20.100000000000001" customHeight="1">
      <c r="A785" s="157"/>
      <c r="B785" s="1"/>
      <c r="C785" s="157"/>
      <c r="D785" s="1"/>
      <c r="E785" s="150"/>
      <c r="F785" s="150"/>
      <c r="G785" s="151"/>
      <c r="H785" s="150"/>
      <c r="I785" s="150"/>
      <c r="J785" s="151"/>
      <c r="K785" s="151"/>
      <c r="L785" s="150"/>
      <c r="M785" s="151"/>
      <c r="N785" s="151"/>
      <c r="O785" s="151"/>
      <c r="P785" s="150"/>
      <c r="Q785" s="150"/>
      <c r="R785" s="158"/>
      <c r="S785" s="158"/>
      <c r="T785" s="158"/>
      <c r="U785" s="158"/>
      <c r="V785" s="1"/>
      <c r="W785" s="1"/>
      <c r="X785" s="157"/>
      <c r="Y785" s="157"/>
      <c r="Z785" s="157"/>
      <c r="AA785" s="157"/>
      <c r="AB785" s="157"/>
      <c r="AC785" s="151"/>
      <c r="AD785" s="151"/>
      <c r="AE785" s="151"/>
      <c r="AF785" s="157"/>
      <c r="AG785" s="157"/>
      <c r="AH785" s="157"/>
      <c r="AI785" s="157"/>
      <c r="AJ785" s="157"/>
      <c r="AK785" s="157"/>
      <c r="AL785" s="157"/>
      <c r="AM785" s="157"/>
      <c r="AN785" s="159"/>
      <c r="AO785" s="159"/>
      <c r="AP785" s="160"/>
      <c r="AQ785" s="160"/>
      <c r="AR785" s="160"/>
      <c r="AS785" s="159"/>
      <c r="AT785" s="159"/>
      <c r="AU785" s="161"/>
      <c r="AV785" s="157"/>
      <c r="AW785" s="157"/>
      <c r="AX785" s="157"/>
      <c r="AY785" s="157"/>
      <c r="AZ785" s="157"/>
      <c r="BA785" s="157"/>
      <c r="BB785" s="157"/>
      <c r="BC785" s="151"/>
      <c r="BD785" s="157"/>
      <c r="BE785" s="157"/>
      <c r="BF785" s="157"/>
      <c r="BG785" s="157"/>
      <c r="BH785" s="157"/>
      <c r="BI785" s="157"/>
      <c r="BJ785" s="353"/>
      <c r="BK785" s="353"/>
      <c r="BL785" s="353"/>
      <c r="BM785" s="14"/>
      <c r="BN785" s="14"/>
      <c r="BO785" s="14"/>
    </row>
    <row r="786" spans="1:67" ht="20.100000000000001" customHeight="1">
      <c r="A786" s="157"/>
      <c r="B786" s="1"/>
      <c r="C786" s="157"/>
      <c r="D786" s="1"/>
      <c r="E786" s="150"/>
      <c r="F786" s="150"/>
      <c r="G786" s="151"/>
      <c r="H786" s="150"/>
      <c r="I786" s="150"/>
      <c r="J786" s="151"/>
      <c r="K786" s="151"/>
      <c r="L786" s="150"/>
      <c r="M786" s="151"/>
      <c r="N786" s="151"/>
      <c r="O786" s="151"/>
      <c r="P786" s="150"/>
      <c r="Q786" s="150"/>
      <c r="R786" s="158"/>
      <c r="S786" s="158"/>
      <c r="T786" s="158"/>
      <c r="U786" s="158"/>
      <c r="V786" s="1"/>
      <c r="W786" s="1"/>
      <c r="X786" s="157"/>
      <c r="Y786" s="157"/>
      <c r="Z786" s="157"/>
      <c r="AA786" s="157"/>
      <c r="AB786" s="157"/>
      <c r="AC786" s="151"/>
      <c r="AD786" s="151"/>
      <c r="AE786" s="151"/>
      <c r="AF786" s="157"/>
      <c r="AG786" s="157"/>
      <c r="AH786" s="157"/>
      <c r="AI786" s="157"/>
      <c r="AJ786" s="157"/>
      <c r="AK786" s="157"/>
      <c r="AL786" s="157"/>
      <c r="AM786" s="157"/>
      <c r="AN786" s="159"/>
      <c r="AO786" s="159"/>
      <c r="AP786" s="160"/>
      <c r="AQ786" s="160"/>
      <c r="AR786" s="160"/>
      <c r="AS786" s="159"/>
      <c r="AT786" s="159"/>
      <c r="AU786" s="161"/>
      <c r="AV786" s="157"/>
      <c r="AW786" s="157"/>
      <c r="AX786" s="157"/>
      <c r="AY786" s="157"/>
      <c r="AZ786" s="157"/>
      <c r="BA786" s="157"/>
      <c r="BB786" s="157"/>
      <c r="BC786" s="151"/>
      <c r="BD786" s="157"/>
      <c r="BE786" s="157"/>
      <c r="BF786" s="157"/>
      <c r="BG786" s="157"/>
      <c r="BH786" s="157"/>
      <c r="BI786" s="157"/>
      <c r="BJ786" s="353"/>
      <c r="BK786" s="353"/>
      <c r="BL786" s="353"/>
      <c r="BM786" s="14"/>
      <c r="BN786" s="14"/>
      <c r="BO786" s="14"/>
    </row>
    <row r="787" spans="1:67" ht="20.100000000000001" customHeight="1">
      <c r="A787" s="157"/>
      <c r="B787" s="1"/>
      <c r="C787" s="157"/>
      <c r="D787" s="1"/>
      <c r="E787" s="150"/>
      <c r="F787" s="150"/>
      <c r="G787" s="151"/>
      <c r="H787" s="150"/>
      <c r="I787" s="150"/>
      <c r="J787" s="151"/>
      <c r="K787" s="151"/>
      <c r="L787" s="150"/>
      <c r="M787" s="151"/>
      <c r="N787" s="151"/>
      <c r="O787" s="151"/>
      <c r="P787" s="150"/>
      <c r="Q787" s="150"/>
      <c r="R787" s="158"/>
      <c r="S787" s="158"/>
      <c r="T787" s="158"/>
      <c r="U787" s="158"/>
      <c r="V787" s="1"/>
      <c r="W787" s="1"/>
      <c r="X787" s="157"/>
      <c r="Y787" s="157"/>
      <c r="Z787" s="157"/>
      <c r="AA787" s="157"/>
      <c r="AB787" s="157"/>
      <c r="AC787" s="151"/>
      <c r="AD787" s="151"/>
      <c r="AE787" s="151"/>
      <c r="AF787" s="157"/>
      <c r="AG787" s="157"/>
      <c r="AH787" s="157"/>
      <c r="AI787" s="157"/>
      <c r="AJ787" s="157"/>
      <c r="AK787" s="157"/>
      <c r="AL787" s="157"/>
      <c r="AM787" s="157"/>
      <c r="AN787" s="159"/>
      <c r="AO787" s="159"/>
      <c r="AP787" s="160"/>
      <c r="AQ787" s="160"/>
      <c r="AR787" s="160"/>
      <c r="AS787" s="159"/>
      <c r="AT787" s="159"/>
      <c r="AU787" s="161"/>
      <c r="AV787" s="157"/>
      <c r="AW787" s="157"/>
      <c r="AX787" s="157"/>
      <c r="AY787" s="157"/>
      <c r="AZ787" s="157"/>
      <c r="BA787" s="157"/>
      <c r="BB787" s="157"/>
      <c r="BC787" s="151"/>
      <c r="BD787" s="157"/>
      <c r="BE787" s="157"/>
      <c r="BF787" s="157"/>
      <c r="BG787" s="157"/>
      <c r="BH787" s="157"/>
      <c r="BI787" s="157"/>
      <c r="BJ787" s="353"/>
      <c r="BK787" s="353"/>
      <c r="BL787" s="353"/>
      <c r="BM787" s="14"/>
      <c r="BN787" s="14"/>
      <c r="BO787" s="14"/>
    </row>
    <row r="788" spans="1:67" ht="20.100000000000001" customHeight="1">
      <c r="A788" s="157"/>
      <c r="B788" s="1"/>
      <c r="C788" s="157"/>
      <c r="D788" s="1"/>
      <c r="E788" s="150"/>
      <c r="F788" s="150"/>
      <c r="G788" s="151"/>
      <c r="H788" s="150"/>
      <c r="I788" s="150"/>
      <c r="J788" s="151"/>
      <c r="K788" s="151"/>
      <c r="L788" s="150"/>
      <c r="M788" s="151"/>
      <c r="N788" s="151"/>
      <c r="O788" s="151"/>
      <c r="P788" s="150"/>
      <c r="Q788" s="150"/>
      <c r="R788" s="158"/>
      <c r="S788" s="158"/>
      <c r="T788" s="158"/>
      <c r="U788" s="158"/>
      <c r="V788" s="1"/>
      <c r="W788" s="1"/>
      <c r="X788" s="157"/>
      <c r="Y788" s="157"/>
      <c r="Z788" s="157"/>
      <c r="AA788" s="157"/>
      <c r="AB788" s="157"/>
      <c r="AC788" s="151"/>
      <c r="AD788" s="151"/>
      <c r="AE788" s="151"/>
      <c r="AF788" s="157"/>
      <c r="AG788" s="157"/>
      <c r="AH788" s="157"/>
      <c r="AI788" s="157"/>
      <c r="AJ788" s="157"/>
      <c r="AK788" s="157"/>
      <c r="AL788" s="157"/>
      <c r="AM788" s="157"/>
      <c r="AN788" s="159"/>
      <c r="AO788" s="159"/>
      <c r="AP788" s="160"/>
      <c r="AQ788" s="160"/>
      <c r="AR788" s="160"/>
      <c r="AS788" s="159"/>
      <c r="AT788" s="159"/>
      <c r="AU788" s="161"/>
      <c r="AV788" s="157"/>
      <c r="AW788" s="157"/>
      <c r="AX788" s="157"/>
      <c r="AY788" s="157"/>
      <c r="AZ788" s="157"/>
      <c r="BA788" s="157"/>
      <c r="BB788" s="157"/>
      <c r="BC788" s="151"/>
      <c r="BD788" s="157"/>
      <c r="BE788" s="157"/>
      <c r="BF788" s="157"/>
      <c r="BG788" s="157"/>
      <c r="BH788" s="157"/>
      <c r="BI788" s="157"/>
      <c r="BJ788" s="353"/>
      <c r="BK788" s="353"/>
      <c r="BL788" s="353"/>
      <c r="BM788" s="14"/>
      <c r="BN788" s="14"/>
      <c r="BO788" s="14"/>
    </row>
    <row r="789" spans="1:67" ht="20.100000000000001" customHeight="1">
      <c r="A789" s="157"/>
      <c r="B789" s="1"/>
      <c r="C789" s="157"/>
      <c r="D789" s="1"/>
      <c r="E789" s="150"/>
      <c r="F789" s="150"/>
      <c r="G789" s="151"/>
      <c r="H789" s="150"/>
      <c r="I789" s="150"/>
      <c r="J789" s="151"/>
      <c r="K789" s="151"/>
      <c r="L789" s="150"/>
      <c r="M789" s="151"/>
      <c r="N789" s="151"/>
      <c r="O789" s="151"/>
      <c r="P789" s="150"/>
      <c r="Q789" s="150"/>
      <c r="R789" s="158"/>
      <c r="S789" s="158"/>
      <c r="T789" s="158"/>
      <c r="U789" s="158"/>
      <c r="V789" s="1"/>
      <c r="W789" s="1"/>
      <c r="X789" s="157"/>
      <c r="Y789" s="157"/>
      <c r="Z789" s="157"/>
      <c r="AA789" s="157"/>
      <c r="AB789" s="157"/>
      <c r="AC789" s="151"/>
      <c r="AD789" s="151"/>
      <c r="AE789" s="151"/>
      <c r="AF789" s="157"/>
      <c r="AG789" s="157"/>
      <c r="AH789" s="157"/>
      <c r="AI789" s="157"/>
      <c r="AJ789" s="157"/>
      <c r="AK789" s="157"/>
      <c r="AL789" s="157"/>
      <c r="AM789" s="157"/>
      <c r="AN789" s="159"/>
      <c r="AO789" s="159"/>
      <c r="AP789" s="160"/>
      <c r="AQ789" s="160"/>
      <c r="AR789" s="160"/>
      <c r="AS789" s="159"/>
      <c r="AT789" s="159"/>
      <c r="AU789" s="161"/>
      <c r="AV789" s="157"/>
      <c r="AW789" s="157"/>
      <c r="AX789" s="157"/>
      <c r="AY789" s="157"/>
      <c r="AZ789" s="157"/>
      <c r="BA789" s="157"/>
      <c r="BB789" s="157"/>
      <c r="BC789" s="151"/>
      <c r="BD789" s="157"/>
      <c r="BE789" s="157"/>
      <c r="BF789" s="157"/>
      <c r="BG789" s="157"/>
      <c r="BH789" s="157"/>
      <c r="BI789" s="157"/>
      <c r="BJ789" s="353"/>
      <c r="BK789" s="353"/>
      <c r="BL789" s="353"/>
      <c r="BM789" s="14"/>
      <c r="BN789" s="14"/>
      <c r="BO789" s="14"/>
    </row>
    <row r="790" spans="1:67" ht="20.100000000000001" customHeight="1">
      <c r="A790" s="157"/>
      <c r="B790" s="1"/>
      <c r="C790" s="157"/>
      <c r="D790" s="1"/>
      <c r="E790" s="150"/>
      <c r="F790" s="150"/>
      <c r="G790" s="151"/>
      <c r="H790" s="150"/>
      <c r="I790" s="150"/>
      <c r="J790" s="151"/>
      <c r="K790" s="151"/>
      <c r="L790" s="150"/>
      <c r="M790" s="151"/>
      <c r="N790" s="151"/>
      <c r="O790" s="151"/>
      <c r="P790" s="150"/>
      <c r="Q790" s="150"/>
      <c r="R790" s="158"/>
      <c r="S790" s="158"/>
      <c r="T790" s="158"/>
      <c r="U790" s="158"/>
      <c r="V790" s="1"/>
      <c r="W790" s="1"/>
      <c r="X790" s="157"/>
      <c r="Y790" s="157"/>
      <c r="Z790" s="157"/>
      <c r="AA790" s="157"/>
      <c r="AB790" s="157"/>
      <c r="AC790" s="151"/>
      <c r="AD790" s="151"/>
      <c r="AE790" s="151"/>
      <c r="AF790" s="157"/>
      <c r="AG790" s="157"/>
      <c r="AH790" s="157"/>
      <c r="AI790" s="157"/>
      <c r="AJ790" s="157"/>
      <c r="AK790" s="157"/>
      <c r="AL790" s="157"/>
      <c r="AM790" s="157"/>
      <c r="AN790" s="159"/>
      <c r="AO790" s="159"/>
      <c r="AP790" s="160"/>
      <c r="AQ790" s="160"/>
      <c r="AR790" s="160"/>
      <c r="AS790" s="159"/>
      <c r="AT790" s="159"/>
      <c r="AU790" s="161"/>
      <c r="AV790" s="157"/>
      <c r="AW790" s="157"/>
      <c r="AX790" s="157"/>
      <c r="AY790" s="157"/>
      <c r="AZ790" s="157"/>
      <c r="BA790" s="157"/>
      <c r="BB790" s="157"/>
      <c r="BC790" s="151"/>
      <c r="BD790" s="157"/>
      <c r="BE790" s="157"/>
      <c r="BF790" s="157"/>
      <c r="BG790" s="157"/>
      <c r="BH790" s="157"/>
      <c r="BI790" s="157"/>
      <c r="BJ790" s="353"/>
      <c r="BK790" s="353"/>
      <c r="BL790" s="353"/>
      <c r="BM790" s="14"/>
      <c r="BN790" s="14"/>
      <c r="BO790" s="14"/>
    </row>
    <row r="791" spans="1:67" ht="20.100000000000001" customHeight="1">
      <c r="A791" s="157"/>
      <c r="B791" s="1"/>
      <c r="C791" s="157"/>
      <c r="D791" s="1"/>
      <c r="E791" s="150"/>
      <c r="F791" s="150"/>
      <c r="G791" s="151"/>
      <c r="H791" s="150"/>
      <c r="I791" s="150"/>
      <c r="J791" s="151"/>
      <c r="K791" s="151"/>
      <c r="L791" s="150"/>
      <c r="M791" s="151"/>
      <c r="N791" s="151"/>
      <c r="O791" s="151"/>
      <c r="P791" s="150"/>
      <c r="Q791" s="150"/>
      <c r="R791" s="158"/>
      <c r="S791" s="158"/>
      <c r="T791" s="158"/>
      <c r="U791" s="158"/>
      <c r="V791" s="1"/>
      <c r="W791" s="1"/>
      <c r="X791" s="157"/>
      <c r="Y791" s="157"/>
      <c r="Z791" s="157"/>
      <c r="AA791" s="157"/>
      <c r="AB791" s="157"/>
      <c r="AC791" s="151"/>
      <c r="AD791" s="151"/>
      <c r="AE791" s="151"/>
      <c r="AF791" s="157"/>
      <c r="AG791" s="157"/>
      <c r="AH791" s="157"/>
      <c r="AI791" s="157"/>
      <c r="AJ791" s="157"/>
      <c r="AK791" s="157"/>
      <c r="AL791" s="157"/>
      <c r="AM791" s="157"/>
      <c r="AN791" s="159"/>
      <c r="AO791" s="159"/>
      <c r="AP791" s="160"/>
      <c r="AQ791" s="160"/>
      <c r="AR791" s="160"/>
      <c r="AS791" s="159"/>
      <c r="AT791" s="159"/>
      <c r="AU791" s="161"/>
      <c r="AV791" s="157"/>
      <c r="AW791" s="157"/>
      <c r="AX791" s="157"/>
      <c r="AY791" s="157"/>
      <c r="AZ791" s="157"/>
      <c r="BA791" s="157"/>
      <c r="BB791" s="157"/>
      <c r="BC791" s="151"/>
      <c r="BD791" s="157"/>
      <c r="BE791" s="157"/>
      <c r="BF791" s="157"/>
      <c r="BG791" s="157"/>
      <c r="BH791" s="157"/>
      <c r="BI791" s="157"/>
      <c r="BJ791" s="353"/>
      <c r="BK791" s="353"/>
      <c r="BL791" s="353"/>
      <c r="BM791" s="14"/>
      <c r="BN791" s="14"/>
      <c r="BO791" s="14"/>
    </row>
    <row r="792" spans="1:67" ht="20.100000000000001" customHeight="1">
      <c r="A792" s="157"/>
      <c r="B792" s="1"/>
      <c r="C792" s="157"/>
      <c r="D792" s="1"/>
      <c r="E792" s="150"/>
      <c r="F792" s="150"/>
      <c r="G792" s="151"/>
      <c r="H792" s="150"/>
      <c r="I792" s="150"/>
      <c r="J792" s="151"/>
      <c r="K792" s="151"/>
      <c r="L792" s="150"/>
      <c r="M792" s="151"/>
      <c r="N792" s="151"/>
      <c r="O792" s="151"/>
      <c r="P792" s="150"/>
      <c r="Q792" s="150"/>
      <c r="R792" s="158"/>
      <c r="S792" s="158"/>
      <c r="T792" s="158"/>
      <c r="U792" s="158"/>
      <c r="V792" s="1"/>
      <c r="W792" s="1"/>
      <c r="X792" s="157"/>
      <c r="Y792" s="157"/>
      <c r="Z792" s="157"/>
      <c r="AA792" s="157"/>
      <c r="AB792" s="157"/>
      <c r="AC792" s="151"/>
      <c r="AD792" s="151"/>
      <c r="AE792" s="151"/>
      <c r="AF792" s="157"/>
      <c r="AG792" s="157"/>
      <c r="AH792" s="157"/>
      <c r="AI792" s="157"/>
      <c r="AJ792" s="157"/>
      <c r="AK792" s="157"/>
      <c r="AL792" s="157"/>
      <c r="AM792" s="157"/>
      <c r="AN792" s="159"/>
      <c r="AO792" s="159"/>
      <c r="AP792" s="160"/>
      <c r="AQ792" s="160"/>
      <c r="AR792" s="160"/>
      <c r="AS792" s="159"/>
      <c r="AT792" s="159"/>
      <c r="AU792" s="161"/>
      <c r="AV792" s="157"/>
      <c r="AW792" s="157"/>
      <c r="AX792" s="157"/>
      <c r="AY792" s="157"/>
      <c r="AZ792" s="157"/>
      <c r="BA792" s="157"/>
      <c r="BB792" s="157"/>
      <c r="BC792" s="151"/>
      <c r="BD792" s="157"/>
      <c r="BE792" s="157"/>
      <c r="BF792" s="157"/>
      <c r="BG792" s="157"/>
      <c r="BH792" s="157"/>
      <c r="BI792" s="157"/>
      <c r="BJ792" s="353"/>
      <c r="BK792" s="353"/>
      <c r="BL792" s="353"/>
      <c r="BM792" s="14"/>
      <c r="BN792" s="14"/>
      <c r="BO792" s="14"/>
    </row>
    <row r="793" spans="1:67" ht="20.100000000000001" customHeight="1">
      <c r="A793" s="157"/>
      <c r="B793" s="1"/>
      <c r="C793" s="157"/>
      <c r="D793" s="1"/>
      <c r="E793" s="150"/>
      <c r="F793" s="150"/>
      <c r="G793" s="151"/>
      <c r="H793" s="150"/>
      <c r="I793" s="150"/>
      <c r="J793" s="151"/>
      <c r="K793" s="151"/>
      <c r="L793" s="150"/>
      <c r="M793" s="151"/>
      <c r="N793" s="151"/>
      <c r="O793" s="151"/>
      <c r="P793" s="150"/>
      <c r="Q793" s="150"/>
      <c r="R793" s="158"/>
      <c r="S793" s="158"/>
      <c r="T793" s="158"/>
      <c r="U793" s="158"/>
      <c r="V793" s="1"/>
      <c r="W793" s="1"/>
      <c r="X793" s="157"/>
      <c r="Y793" s="157"/>
      <c r="Z793" s="157"/>
      <c r="AA793" s="157"/>
      <c r="AB793" s="157"/>
      <c r="AC793" s="151"/>
      <c r="AD793" s="151"/>
      <c r="AE793" s="151"/>
      <c r="AF793" s="157"/>
      <c r="AG793" s="157"/>
      <c r="AH793" s="157"/>
      <c r="AI793" s="157"/>
      <c r="AJ793" s="157"/>
      <c r="AK793" s="157"/>
      <c r="AL793" s="157"/>
      <c r="AM793" s="157"/>
      <c r="AN793" s="159"/>
      <c r="AO793" s="159"/>
      <c r="AP793" s="160"/>
      <c r="AQ793" s="160"/>
      <c r="AR793" s="160"/>
      <c r="AS793" s="159"/>
      <c r="AT793" s="159"/>
      <c r="AU793" s="161"/>
      <c r="AV793" s="157"/>
      <c r="AW793" s="157"/>
      <c r="AX793" s="157"/>
      <c r="AY793" s="157"/>
      <c r="AZ793" s="157"/>
      <c r="BA793" s="157"/>
      <c r="BB793" s="157"/>
      <c r="BC793" s="151"/>
      <c r="BD793" s="157"/>
      <c r="BE793" s="157"/>
      <c r="BF793" s="157"/>
      <c r="BG793" s="157"/>
      <c r="BH793" s="157"/>
      <c r="BI793" s="157"/>
      <c r="BJ793" s="353"/>
      <c r="BK793" s="353"/>
      <c r="BL793" s="353"/>
      <c r="BM793" s="14"/>
      <c r="BN793" s="14"/>
      <c r="BO793" s="14"/>
    </row>
    <row r="794" spans="1:67" ht="20.100000000000001" customHeight="1">
      <c r="A794" s="157"/>
      <c r="B794" s="1"/>
      <c r="C794" s="157"/>
      <c r="D794" s="1"/>
      <c r="E794" s="150"/>
      <c r="F794" s="150"/>
      <c r="G794" s="151"/>
      <c r="H794" s="150"/>
      <c r="I794" s="150"/>
      <c r="J794" s="151"/>
      <c r="K794" s="151"/>
      <c r="L794" s="150"/>
      <c r="M794" s="151"/>
      <c r="N794" s="151"/>
      <c r="O794" s="151"/>
      <c r="P794" s="150"/>
      <c r="Q794" s="150"/>
      <c r="R794" s="158"/>
      <c r="S794" s="158"/>
      <c r="T794" s="158"/>
      <c r="U794" s="158"/>
      <c r="V794" s="1"/>
      <c r="W794" s="1"/>
      <c r="X794" s="157"/>
      <c r="Y794" s="157"/>
      <c r="Z794" s="157"/>
      <c r="AA794" s="157"/>
      <c r="AB794" s="157"/>
      <c r="AC794" s="151"/>
      <c r="AD794" s="151"/>
      <c r="AE794" s="151"/>
      <c r="AF794" s="157"/>
      <c r="AG794" s="157"/>
      <c r="AH794" s="157"/>
      <c r="AI794" s="157"/>
      <c r="AJ794" s="157"/>
      <c r="AK794" s="157"/>
      <c r="AL794" s="157"/>
      <c r="AM794" s="157"/>
      <c r="AN794" s="159"/>
      <c r="AO794" s="159"/>
      <c r="AP794" s="160"/>
      <c r="AQ794" s="160"/>
      <c r="AR794" s="160"/>
      <c r="AS794" s="159"/>
      <c r="AT794" s="159"/>
      <c r="AU794" s="161"/>
      <c r="AV794" s="157"/>
      <c r="AW794" s="157"/>
      <c r="AX794" s="157"/>
      <c r="AY794" s="157"/>
      <c r="AZ794" s="157"/>
      <c r="BA794" s="157"/>
      <c r="BB794" s="157"/>
      <c r="BC794" s="151"/>
      <c r="BD794" s="157"/>
      <c r="BE794" s="157"/>
      <c r="BF794" s="157"/>
      <c r="BG794" s="157"/>
      <c r="BH794" s="157"/>
      <c r="BI794" s="157"/>
      <c r="BJ794" s="353"/>
      <c r="BK794" s="353"/>
      <c r="BL794" s="353"/>
      <c r="BM794" s="14"/>
      <c r="BN794" s="14"/>
      <c r="BO794" s="14"/>
    </row>
    <row r="795" spans="1:67" ht="20.100000000000001" customHeight="1">
      <c r="A795" s="157"/>
      <c r="B795" s="1"/>
      <c r="C795" s="157"/>
      <c r="D795" s="1"/>
      <c r="E795" s="150"/>
      <c r="F795" s="150"/>
      <c r="G795" s="151"/>
      <c r="H795" s="150"/>
      <c r="I795" s="150"/>
      <c r="J795" s="151"/>
      <c r="K795" s="151"/>
      <c r="L795" s="150"/>
      <c r="M795" s="151"/>
      <c r="N795" s="151"/>
      <c r="O795" s="151"/>
      <c r="P795" s="150"/>
      <c r="Q795" s="150"/>
      <c r="R795" s="158"/>
      <c r="S795" s="158"/>
      <c r="T795" s="158"/>
      <c r="U795" s="158"/>
      <c r="V795" s="1"/>
      <c r="W795" s="1"/>
      <c r="X795" s="157"/>
      <c r="Y795" s="157"/>
      <c r="Z795" s="157"/>
      <c r="AA795" s="157"/>
      <c r="AB795" s="157"/>
      <c r="AC795" s="151"/>
      <c r="AD795" s="151"/>
      <c r="AE795" s="151"/>
      <c r="AF795" s="157"/>
      <c r="AG795" s="157"/>
      <c r="AH795" s="157"/>
      <c r="AI795" s="157"/>
      <c r="AJ795" s="157"/>
      <c r="AK795" s="157"/>
      <c r="AL795" s="157"/>
      <c r="AM795" s="157"/>
      <c r="AN795" s="159"/>
      <c r="AO795" s="159"/>
      <c r="AP795" s="160"/>
      <c r="AQ795" s="160"/>
      <c r="AR795" s="160"/>
      <c r="AS795" s="159"/>
      <c r="AT795" s="159"/>
      <c r="AU795" s="161"/>
      <c r="AV795" s="157"/>
      <c r="AW795" s="157"/>
      <c r="AX795" s="157"/>
      <c r="AY795" s="157"/>
      <c r="AZ795" s="157"/>
      <c r="BA795" s="157"/>
      <c r="BB795" s="157"/>
      <c r="BC795" s="151"/>
      <c r="BD795" s="157"/>
      <c r="BE795" s="157"/>
      <c r="BF795" s="157"/>
      <c r="BG795" s="157"/>
      <c r="BH795" s="157"/>
      <c r="BI795" s="157"/>
      <c r="BJ795" s="353"/>
      <c r="BK795" s="353"/>
      <c r="BL795" s="353"/>
      <c r="BM795" s="14"/>
      <c r="BN795" s="14"/>
      <c r="BO795" s="14"/>
    </row>
    <row r="796" spans="1:67" ht="20.100000000000001" customHeight="1">
      <c r="A796" s="157"/>
      <c r="B796" s="1"/>
      <c r="C796" s="157"/>
      <c r="D796" s="1"/>
      <c r="E796" s="150"/>
      <c r="F796" s="150"/>
      <c r="G796" s="151"/>
      <c r="H796" s="150"/>
      <c r="I796" s="150"/>
      <c r="J796" s="151"/>
      <c r="K796" s="151"/>
      <c r="L796" s="150"/>
      <c r="M796" s="151"/>
      <c r="N796" s="151"/>
      <c r="O796" s="151"/>
      <c r="P796" s="150"/>
      <c r="Q796" s="150"/>
      <c r="R796" s="158"/>
      <c r="S796" s="158"/>
      <c r="T796" s="158"/>
      <c r="U796" s="158"/>
      <c r="V796" s="1"/>
      <c r="W796" s="1"/>
      <c r="X796" s="157"/>
      <c r="Y796" s="157"/>
      <c r="Z796" s="157"/>
      <c r="AA796" s="157"/>
      <c r="AB796" s="157"/>
      <c r="AC796" s="151"/>
      <c r="AD796" s="151"/>
      <c r="AE796" s="151"/>
      <c r="AF796" s="157"/>
      <c r="AG796" s="157"/>
      <c r="AH796" s="157"/>
      <c r="AI796" s="157"/>
      <c r="AJ796" s="157"/>
      <c r="AK796" s="157"/>
      <c r="AL796" s="157"/>
      <c r="AM796" s="157"/>
      <c r="AN796" s="159"/>
      <c r="AO796" s="159"/>
      <c r="AP796" s="160"/>
      <c r="AQ796" s="160"/>
      <c r="AR796" s="160"/>
      <c r="AS796" s="159"/>
      <c r="AT796" s="159"/>
      <c r="AU796" s="161"/>
      <c r="AV796" s="157"/>
      <c r="AW796" s="157"/>
      <c r="AX796" s="157"/>
      <c r="AY796" s="157"/>
      <c r="AZ796" s="157"/>
      <c r="BA796" s="157"/>
      <c r="BB796" s="157"/>
      <c r="BC796" s="151"/>
      <c r="BD796" s="157"/>
      <c r="BE796" s="157"/>
      <c r="BF796" s="157"/>
      <c r="BG796" s="157"/>
      <c r="BH796" s="157"/>
      <c r="BI796" s="157"/>
      <c r="BJ796" s="353"/>
      <c r="BK796" s="353"/>
      <c r="BL796" s="353"/>
      <c r="BM796" s="14"/>
      <c r="BN796" s="14"/>
      <c r="BO796" s="14"/>
    </row>
    <row r="797" spans="1:67" ht="20.100000000000001" customHeight="1">
      <c r="A797" s="157"/>
      <c r="B797" s="1"/>
      <c r="C797" s="157"/>
      <c r="D797" s="1"/>
      <c r="E797" s="150"/>
      <c r="F797" s="150"/>
      <c r="G797" s="151"/>
      <c r="H797" s="150"/>
      <c r="I797" s="150"/>
      <c r="J797" s="151"/>
      <c r="K797" s="151"/>
      <c r="L797" s="150"/>
      <c r="M797" s="151"/>
      <c r="N797" s="151"/>
      <c r="O797" s="151"/>
      <c r="P797" s="150"/>
      <c r="Q797" s="150"/>
      <c r="R797" s="158"/>
      <c r="S797" s="158"/>
      <c r="T797" s="158"/>
      <c r="U797" s="158"/>
      <c r="V797" s="1"/>
      <c r="W797" s="1"/>
      <c r="X797" s="157"/>
      <c r="Y797" s="157"/>
      <c r="Z797" s="157"/>
      <c r="AA797" s="157"/>
      <c r="AB797" s="157"/>
      <c r="AC797" s="151"/>
      <c r="AD797" s="151"/>
      <c r="AE797" s="151"/>
      <c r="AF797" s="157"/>
      <c r="AG797" s="157"/>
      <c r="AH797" s="157"/>
      <c r="AI797" s="157"/>
      <c r="AJ797" s="157"/>
      <c r="AK797" s="157"/>
      <c r="AL797" s="157"/>
      <c r="AM797" s="157"/>
      <c r="AN797" s="159"/>
      <c r="AO797" s="159"/>
      <c r="AP797" s="160"/>
      <c r="AQ797" s="160"/>
      <c r="AR797" s="160"/>
      <c r="AS797" s="159"/>
      <c r="AT797" s="159"/>
      <c r="AU797" s="161"/>
      <c r="AV797" s="157"/>
      <c r="AW797" s="157"/>
      <c r="AX797" s="157"/>
      <c r="AY797" s="157"/>
      <c r="AZ797" s="157"/>
      <c r="BA797" s="157"/>
      <c r="BB797" s="157"/>
      <c r="BC797" s="151"/>
      <c r="BD797" s="157"/>
      <c r="BE797" s="157"/>
      <c r="BF797" s="157"/>
      <c r="BG797" s="157"/>
      <c r="BH797" s="157"/>
      <c r="BI797" s="157"/>
      <c r="BJ797" s="353"/>
      <c r="BK797" s="353"/>
      <c r="BL797" s="353"/>
      <c r="BM797" s="14"/>
      <c r="BN797" s="14"/>
      <c r="BO797" s="14"/>
    </row>
    <row r="798" spans="1:67" ht="20.100000000000001" customHeight="1">
      <c r="A798" s="157"/>
      <c r="B798" s="1"/>
      <c r="C798" s="157"/>
      <c r="D798" s="1"/>
      <c r="E798" s="150"/>
      <c r="F798" s="150"/>
      <c r="G798" s="151"/>
      <c r="H798" s="150"/>
      <c r="I798" s="150"/>
      <c r="J798" s="151"/>
      <c r="K798" s="151"/>
      <c r="L798" s="150"/>
      <c r="M798" s="151"/>
      <c r="N798" s="151"/>
      <c r="O798" s="151"/>
      <c r="P798" s="150"/>
      <c r="Q798" s="150"/>
      <c r="R798" s="158"/>
      <c r="S798" s="158"/>
      <c r="T798" s="158"/>
      <c r="U798" s="158"/>
      <c r="V798" s="1"/>
      <c r="W798" s="1"/>
      <c r="X798" s="157"/>
      <c r="Y798" s="157"/>
      <c r="Z798" s="157"/>
      <c r="AA798" s="157"/>
      <c r="AB798" s="157"/>
      <c r="AC798" s="151"/>
      <c r="AD798" s="151"/>
      <c r="AE798" s="151"/>
      <c r="AF798" s="157"/>
      <c r="AG798" s="157"/>
      <c r="AH798" s="157"/>
      <c r="AI798" s="157"/>
      <c r="AJ798" s="157"/>
      <c r="AK798" s="157"/>
      <c r="AL798" s="157"/>
      <c r="AM798" s="157"/>
      <c r="AN798" s="159"/>
      <c r="AO798" s="159"/>
      <c r="AP798" s="160"/>
      <c r="AQ798" s="160"/>
      <c r="AR798" s="160"/>
      <c r="AS798" s="159"/>
      <c r="AT798" s="159"/>
      <c r="AU798" s="161"/>
      <c r="AV798" s="157"/>
      <c r="AW798" s="157"/>
      <c r="AX798" s="157"/>
      <c r="AY798" s="157"/>
      <c r="AZ798" s="157"/>
      <c r="BA798" s="157"/>
      <c r="BB798" s="157"/>
      <c r="BC798" s="151"/>
      <c r="BD798" s="157"/>
      <c r="BE798" s="157"/>
      <c r="BF798" s="157"/>
      <c r="BG798" s="157"/>
      <c r="BH798" s="157"/>
      <c r="BI798" s="157"/>
      <c r="BJ798" s="353"/>
      <c r="BK798" s="353"/>
      <c r="BL798" s="353"/>
      <c r="BM798" s="14"/>
      <c r="BN798" s="14"/>
      <c r="BO798" s="14"/>
    </row>
    <row r="799" spans="1:67" ht="20.100000000000001" customHeight="1">
      <c r="A799" s="157"/>
      <c r="B799" s="1"/>
      <c r="C799" s="157"/>
      <c r="D799" s="1"/>
      <c r="E799" s="150"/>
      <c r="F799" s="150"/>
      <c r="G799" s="151"/>
      <c r="H799" s="150"/>
      <c r="I799" s="150"/>
      <c r="J799" s="151"/>
      <c r="K799" s="151"/>
      <c r="L799" s="150"/>
      <c r="M799" s="151"/>
      <c r="N799" s="151"/>
      <c r="O799" s="151"/>
      <c r="P799" s="150"/>
      <c r="Q799" s="150"/>
      <c r="R799" s="158"/>
      <c r="S799" s="158"/>
      <c r="T799" s="158"/>
      <c r="U799" s="158"/>
      <c r="V799" s="1"/>
      <c r="W799" s="1"/>
      <c r="X799" s="157"/>
      <c r="Y799" s="157"/>
      <c r="Z799" s="157"/>
      <c r="AA799" s="157"/>
      <c r="AB799" s="157"/>
      <c r="AC799" s="151"/>
      <c r="AD799" s="151"/>
      <c r="AE799" s="151"/>
      <c r="AF799" s="157"/>
      <c r="AG799" s="157"/>
      <c r="AH799" s="157"/>
      <c r="AI799" s="157"/>
      <c r="AJ799" s="157"/>
      <c r="AK799" s="157"/>
      <c r="AL799" s="157"/>
      <c r="AM799" s="157"/>
      <c r="AN799" s="159"/>
      <c r="AO799" s="159"/>
      <c r="AP799" s="160"/>
      <c r="AQ799" s="160"/>
      <c r="AR799" s="160"/>
      <c r="AS799" s="159"/>
      <c r="AT799" s="159"/>
      <c r="AU799" s="161"/>
      <c r="AV799" s="157"/>
      <c r="AW799" s="157"/>
      <c r="AX799" s="157"/>
      <c r="AY799" s="157"/>
      <c r="AZ799" s="157"/>
      <c r="BA799" s="157"/>
      <c r="BB799" s="157"/>
      <c r="BC799" s="151"/>
      <c r="BD799" s="157"/>
      <c r="BE799" s="157"/>
      <c r="BF799" s="157"/>
      <c r="BG799" s="157"/>
      <c r="BH799" s="157"/>
      <c r="BI799" s="157"/>
      <c r="BJ799" s="353"/>
      <c r="BK799" s="353"/>
      <c r="BL799" s="353"/>
      <c r="BM799" s="14"/>
      <c r="BN799" s="14"/>
      <c r="BO799" s="14"/>
    </row>
    <row r="800" spans="1:67" ht="20.100000000000001" customHeight="1">
      <c r="A800" s="157"/>
      <c r="B800" s="1"/>
      <c r="C800" s="157"/>
      <c r="D800" s="1"/>
      <c r="E800" s="150"/>
      <c r="F800" s="150"/>
      <c r="G800" s="151"/>
      <c r="H800" s="150"/>
      <c r="I800" s="150"/>
      <c r="J800" s="151"/>
      <c r="K800" s="151"/>
      <c r="L800" s="150"/>
      <c r="M800" s="151"/>
      <c r="N800" s="151"/>
      <c r="O800" s="151"/>
      <c r="P800" s="150"/>
      <c r="Q800" s="150"/>
      <c r="R800" s="158"/>
      <c r="S800" s="158"/>
      <c r="T800" s="158"/>
      <c r="U800" s="158"/>
      <c r="V800" s="1"/>
      <c r="W800" s="1"/>
      <c r="X800" s="157"/>
      <c r="Y800" s="157"/>
      <c r="Z800" s="157"/>
      <c r="AA800" s="157"/>
      <c r="AB800" s="157"/>
      <c r="AC800" s="151"/>
      <c r="AD800" s="151"/>
      <c r="AE800" s="151"/>
      <c r="AF800" s="157"/>
      <c r="AG800" s="157"/>
      <c r="AH800" s="157"/>
      <c r="AI800" s="157"/>
      <c r="AJ800" s="157"/>
      <c r="AK800" s="157"/>
      <c r="AL800" s="157"/>
      <c r="AM800" s="157"/>
      <c r="AN800" s="159"/>
      <c r="AO800" s="159"/>
      <c r="AP800" s="160"/>
      <c r="AQ800" s="160"/>
      <c r="AR800" s="160"/>
      <c r="AS800" s="159"/>
      <c r="AT800" s="159"/>
      <c r="AU800" s="161"/>
      <c r="AV800" s="157"/>
      <c r="AW800" s="157"/>
      <c r="AX800" s="157"/>
      <c r="AY800" s="157"/>
      <c r="AZ800" s="157"/>
      <c r="BA800" s="157"/>
      <c r="BB800" s="157"/>
      <c r="BC800" s="151"/>
      <c r="BD800" s="157"/>
      <c r="BE800" s="157"/>
      <c r="BF800" s="157"/>
      <c r="BG800" s="157"/>
      <c r="BH800" s="157"/>
      <c r="BI800" s="157"/>
      <c r="BJ800" s="353"/>
      <c r="BK800" s="353"/>
      <c r="BL800" s="353"/>
      <c r="BM800" s="14"/>
      <c r="BN800" s="14"/>
      <c r="BO800" s="14"/>
    </row>
    <row r="801" spans="1:67" ht="20.100000000000001" customHeight="1">
      <c r="A801" s="157"/>
      <c r="B801" s="1"/>
      <c r="C801" s="157"/>
      <c r="D801" s="1"/>
      <c r="E801" s="150"/>
      <c r="F801" s="150"/>
      <c r="G801" s="151"/>
      <c r="H801" s="150"/>
      <c r="I801" s="150"/>
      <c r="J801" s="151"/>
      <c r="K801" s="151"/>
      <c r="L801" s="150"/>
      <c r="M801" s="151"/>
      <c r="N801" s="151"/>
      <c r="O801" s="151"/>
      <c r="P801" s="150"/>
      <c r="Q801" s="150"/>
      <c r="R801" s="158"/>
      <c r="S801" s="158"/>
      <c r="T801" s="158"/>
      <c r="U801" s="158"/>
      <c r="V801" s="1"/>
      <c r="W801" s="1"/>
      <c r="X801" s="157"/>
      <c r="Y801" s="157"/>
      <c r="Z801" s="157"/>
      <c r="AA801" s="157"/>
      <c r="AB801" s="157"/>
      <c r="AC801" s="151"/>
      <c r="AD801" s="151"/>
      <c r="AE801" s="151"/>
      <c r="AF801" s="157"/>
      <c r="AG801" s="157"/>
      <c r="AH801" s="157"/>
      <c r="AI801" s="157"/>
      <c r="AJ801" s="157"/>
      <c r="AK801" s="157"/>
      <c r="AL801" s="157"/>
      <c r="AM801" s="157"/>
      <c r="AN801" s="159"/>
      <c r="AO801" s="159"/>
      <c r="AP801" s="160"/>
      <c r="AQ801" s="160"/>
      <c r="AR801" s="160"/>
      <c r="AS801" s="159"/>
      <c r="AT801" s="159"/>
      <c r="AU801" s="161"/>
      <c r="AV801" s="157"/>
      <c r="AW801" s="157"/>
      <c r="AX801" s="157"/>
      <c r="AY801" s="157"/>
      <c r="AZ801" s="157"/>
      <c r="BA801" s="157"/>
      <c r="BB801" s="157"/>
      <c r="BC801" s="151"/>
      <c r="BD801" s="157"/>
      <c r="BE801" s="157"/>
      <c r="BF801" s="157"/>
      <c r="BG801" s="157"/>
      <c r="BH801" s="157"/>
      <c r="BI801" s="157"/>
      <c r="BJ801" s="353"/>
      <c r="BK801" s="353"/>
      <c r="BL801" s="353"/>
      <c r="BM801" s="14"/>
      <c r="BN801" s="14"/>
      <c r="BO801" s="14"/>
    </row>
    <row r="802" spans="1:67" ht="20.100000000000001" customHeight="1">
      <c r="A802" s="157"/>
      <c r="B802" s="1"/>
      <c r="C802" s="157"/>
      <c r="D802" s="1"/>
      <c r="E802" s="150"/>
      <c r="F802" s="150"/>
      <c r="G802" s="151"/>
      <c r="H802" s="150"/>
      <c r="I802" s="150"/>
      <c r="J802" s="151"/>
      <c r="K802" s="151"/>
      <c r="L802" s="150"/>
      <c r="M802" s="151"/>
      <c r="N802" s="151"/>
      <c r="O802" s="151"/>
      <c r="P802" s="150"/>
      <c r="Q802" s="150"/>
      <c r="R802" s="158"/>
      <c r="S802" s="158"/>
      <c r="T802" s="158"/>
      <c r="U802" s="158"/>
      <c r="V802" s="1"/>
      <c r="W802" s="1"/>
      <c r="X802" s="157"/>
      <c r="Y802" s="157"/>
      <c r="Z802" s="157"/>
      <c r="AA802" s="157"/>
      <c r="AB802" s="157"/>
      <c r="AC802" s="151"/>
      <c r="AD802" s="151"/>
      <c r="AE802" s="151"/>
      <c r="AF802" s="157"/>
      <c r="AG802" s="157"/>
      <c r="AH802" s="157"/>
      <c r="AI802" s="157"/>
      <c r="AJ802" s="157"/>
      <c r="AK802" s="157"/>
      <c r="AL802" s="157"/>
      <c r="AM802" s="157"/>
      <c r="AN802" s="159"/>
      <c r="AO802" s="159"/>
      <c r="AP802" s="160"/>
      <c r="AQ802" s="160"/>
      <c r="AR802" s="160"/>
      <c r="AS802" s="159"/>
      <c r="AT802" s="159"/>
      <c r="AU802" s="161"/>
      <c r="AV802" s="157"/>
      <c r="AW802" s="157"/>
      <c r="AX802" s="157"/>
      <c r="AY802" s="157"/>
      <c r="AZ802" s="157"/>
      <c r="BA802" s="157"/>
      <c r="BB802" s="157"/>
      <c r="BC802" s="151"/>
      <c r="BD802" s="157"/>
      <c r="BE802" s="157"/>
      <c r="BF802" s="157"/>
      <c r="BG802" s="157"/>
      <c r="BH802" s="157"/>
      <c r="BI802" s="157"/>
      <c r="BJ802" s="353"/>
      <c r="BK802" s="353"/>
      <c r="BL802" s="353"/>
      <c r="BM802" s="14"/>
      <c r="BN802" s="14"/>
      <c r="BO802" s="14"/>
    </row>
    <row r="803" spans="1:67" ht="20.100000000000001" customHeight="1">
      <c r="A803" s="157"/>
      <c r="B803" s="1"/>
      <c r="C803" s="157"/>
      <c r="D803" s="1"/>
      <c r="E803" s="150"/>
      <c r="F803" s="150"/>
      <c r="G803" s="151"/>
      <c r="H803" s="150"/>
      <c r="I803" s="150"/>
      <c r="J803" s="151"/>
      <c r="K803" s="151"/>
      <c r="L803" s="150"/>
      <c r="M803" s="151"/>
      <c r="N803" s="151"/>
      <c r="O803" s="151"/>
      <c r="P803" s="150"/>
      <c r="Q803" s="150"/>
      <c r="R803" s="158"/>
      <c r="S803" s="158"/>
      <c r="T803" s="158"/>
      <c r="U803" s="158"/>
      <c r="V803" s="1"/>
      <c r="W803" s="1"/>
      <c r="X803" s="157"/>
      <c r="Y803" s="157"/>
      <c r="Z803" s="157"/>
      <c r="AA803" s="157"/>
      <c r="AB803" s="157"/>
      <c r="AC803" s="151"/>
      <c r="AD803" s="151"/>
      <c r="AE803" s="151"/>
      <c r="AF803" s="157"/>
      <c r="AG803" s="157"/>
      <c r="AH803" s="157"/>
      <c r="AI803" s="157"/>
      <c r="AJ803" s="157"/>
      <c r="AK803" s="157"/>
      <c r="AL803" s="157"/>
      <c r="AM803" s="157"/>
      <c r="AN803" s="159"/>
      <c r="AO803" s="159"/>
      <c r="AP803" s="160"/>
      <c r="AQ803" s="160"/>
      <c r="AR803" s="160"/>
      <c r="AS803" s="159"/>
      <c r="AT803" s="159"/>
      <c r="AU803" s="161"/>
      <c r="AV803" s="157"/>
      <c r="AW803" s="157"/>
      <c r="AX803" s="157"/>
      <c r="AY803" s="157"/>
      <c r="AZ803" s="157"/>
      <c r="BA803" s="157"/>
      <c r="BB803" s="157"/>
      <c r="BC803" s="151"/>
      <c r="BD803" s="157"/>
      <c r="BE803" s="157"/>
      <c r="BF803" s="157"/>
      <c r="BG803" s="157"/>
      <c r="BH803" s="157"/>
      <c r="BI803" s="157"/>
      <c r="BJ803" s="353"/>
      <c r="BK803" s="353"/>
      <c r="BL803" s="353"/>
      <c r="BM803" s="14"/>
      <c r="BN803" s="14"/>
      <c r="BO803" s="14"/>
    </row>
    <row r="804" spans="1:67" ht="20.100000000000001" customHeight="1">
      <c r="A804" s="157"/>
      <c r="B804" s="1"/>
      <c r="C804" s="157"/>
      <c r="D804" s="1"/>
      <c r="E804" s="150"/>
      <c r="F804" s="150"/>
      <c r="G804" s="151"/>
      <c r="H804" s="150"/>
      <c r="I804" s="150"/>
      <c r="J804" s="151"/>
      <c r="K804" s="151"/>
      <c r="L804" s="150"/>
      <c r="M804" s="151"/>
      <c r="N804" s="151"/>
      <c r="O804" s="151"/>
      <c r="P804" s="150"/>
      <c r="Q804" s="150"/>
      <c r="R804" s="158"/>
      <c r="S804" s="158"/>
      <c r="T804" s="158"/>
      <c r="U804" s="158"/>
      <c r="V804" s="1"/>
      <c r="W804" s="1"/>
      <c r="X804" s="157"/>
      <c r="Y804" s="157"/>
      <c r="Z804" s="157"/>
      <c r="AA804" s="157"/>
      <c r="AB804" s="157"/>
      <c r="AC804" s="151"/>
      <c r="AD804" s="151"/>
      <c r="AE804" s="151"/>
      <c r="AF804" s="157"/>
      <c r="AG804" s="157"/>
      <c r="AH804" s="157"/>
      <c r="AI804" s="157"/>
      <c r="AJ804" s="157"/>
      <c r="AK804" s="157"/>
      <c r="AL804" s="157"/>
      <c r="AM804" s="157"/>
      <c r="AN804" s="159"/>
      <c r="AO804" s="159"/>
      <c r="AP804" s="160"/>
      <c r="AQ804" s="160"/>
      <c r="AR804" s="160"/>
      <c r="AS804" s="159"/>
      <c r="AT804" s="159"/>
      <c r="AU804" s="161"/>
      <c r="AV804" s="157"/>
      <c r="AW804" s="157"/>
      <c r="AX804" s="157"/>
      <c r="AY804" s="157"/>
      <c r="AZ804" s="157"/>
      <c r="BA804" s="157"/>
      <c r="BB804" s="157"/>
      <c r="BC804" s="151"/>
      <c r="BD804" s="157"/>
      <c r="BE804" s="157"/>
      <c r="BF804" s="157"/>
      <c r="BG804" s="157"/>
      <c r="BH804" s="157"/>
      <c r="BI804" s="157"/>
      <c r="BJ804" s="353"/>
      <c r="BK804" s="353"/>
      <c r="BL804" s="353"/>
      <c r="BM804" s="14"/>
      <c r="BN804" s="14"/>
      <c r="BO804" s="14"/>
    </row>
    <row r="805" spans="1:67" ht="20.100000000000001" customHeight="1">
      <c r="A805" s="157"/>
      <c r="B805" s="1"/>
      <c r="C805" s="157"/>
      <c r="D805" s="1"/>
      <c r="E805" s="150"/>
      <c r="F805" s="150"/>
      <c r="G805" s="151"/>
      <c r="H805" s="150"/>
      <c r="I805" s="150"/>
      <c r="J805" s="151"/>
      <c r="K805" s="151"/>
      <c r="L805" s="150"/>
      <c r="M805" s="151"/>
      <c r="N805" s="151"/>
      <c r="O805" s="151"/>
      <c r="P805" s="150"/>
      <c r="Q805" s="150"/>
      <c r="R805" s="158"/>
      <c r="S805" s="158"/>
      <c r="T805" s="158"/>
      <c r="U805" s="158"/>
      <c r="V805" s="1"/>
      <c r="W805" s="1"/>
      <c r="X805" s="157"/>
      <c r="Y805" s="157"/>
      <c r="Z805" s="157"/>
      <c r="AA805" s="157"/>
      <c r="AB805" s="157"/>
      <c r="AC805" s="151"/>
      <c r="AD805" s="151"/>
      <c r="AE805" s="151"/>
      <c r="AF805" s="157"/>
      <c r="AG805" s="157"/>
      <c r="AH805" s="157"/>
      <c r="AI805" s="157"/>
      <c r="AJ805" s="157"/>
      <c r="AK805" s="157"/>
      <c r="AL805" s="157"/>
      <c r="AM805" s="157"/>
      <c r="AN805" s="159"/>
      <c r="AO805" s="159"/>
      <c r="AP805" s="160"/>
      <c r="AQ805" s="160"/>
      <c r="AR805" s="160"/>
      <c r="AS805" s="159"/>
      <c r="AT805" s="159"/>
      <c r="AU805" s="161"/>
      <c r="AV805" s="157"/>
      <c r="AW805" s="157"/>
      <c r="AX805" s="157"/>
      <c r="AY805" s="157"/>
      <c r="AZ805" s="157"/>
      <c r="BA805" s="157"/>
      <c r="BB805" s="157"/>
      <c r="BC805" s="151"/>
      <c r="BD805" s="157"/>
      <c r="BE805" s="157"/>
      <c r="BF805" s="157"/>
      <c r="BG805" s="157"/>
      <c r="BH805" s="157"/>
      <c r="BI805" s="157"/>
      <c r="BJ805" s="353"/>
      <c r="BK805" s="353"/>
      <c r="BL805" s="353"/>
      <c r="BM805" s="14"/>
      <c r="BN805" s="14"/>
      <c r="BO805" s="14"/>
    </row>
    <row r="806" spans="1:67" ht="20.100000000000001" customHeight="1">
      <c r="A806" s="157"/>
      <c r="B806" s="1"/>
      <c r="C806" s="157"/>
      <c r="D806" s="1"/>
      <c r="E806" s="150"/>
      <c r="F806" s="150"/>
      <c r="G806" s="151"/>
      <c r="H806" s="150"/>
      <c r="I806" s="150"/>
      <c r="J806" s="151"/>
      <c r="K806" s="151"/>
      <c r="L806" s="150"/>
      <c r="M806" s="151"/>
      <c r="N806" s="151"/>
      <c r="O806" s="151"/>
      <c r="P806" s="150"/>
      <c r="Q806" s="150"/>
      <c r="R806" s="158"/>
      <c r="S806" s="158"/>
      <c r="T806" s="158"/>
      <c r="U806" s="158"/>
      <c r="V806" s="1"/>
      <c r="W806" s="1"/>
      <c r="X806" s="157"/>
      <c r="Y806" s="157"/>
      <c r="Z806" s="157"/>
      <c r="AA806" s="157"/>
      <c r="AB806" s="157"/>
      <c r="AC806" s="151"/>
      <c r="AD806" s="151"/>
      <c r="AE806" s="151"/>
      <c r="AF806" s="157"/>
      <c r="AG806" s="157"/>
      <c r="AH806" s="157"/>
      <c r="AI806" s="157"/>
      <c r="AJ806" s="157"/>
      <c r="AK806" s="157"/>
      <c r="AL806" s="157"/>
      <c r="AM806" s="157"/>
      <c r="AN806" s="159"/>
      <c r="AO806" s="159"/>
      <c r="AP806" s="160"/>
      <c r="AQ806" s="160"/>
      <c r="AR806" s="160"/>
      <c r="AS806" s="159"/>
      <c r="AT806" s="159"/>
      <c r="AU806" s="161"/>
      <c r="AV806" s="157"/>
      <c r="AW806" s="157"/>
      <c r="AX806" s="157"/>
      <c r="AY806" s="157"/>
      <c r="AZ806" s="157"/>
      <c r="BA806" s="157"/>
      <c r="BB806" s="157"/>
      <c r="BC806" s="151"/>
      <c r="BD806" s="157"/>
      <c r="BE806" s="157"/>
      <c r="BF806" s="157"/>
      <c r="BG806" s="157"/>
      <c r="BH806" s="157"/>
      <c r="BI806" s="157"/>
      <c r="BJ806" s="353"/>
      <c r="BK806" s="353"/>
      <c r="BL806" s="353"/>
      <c r="BM806" s="14"/>
      <c r="BN806" s="14"/>
      <c r="BO806" s="14"/>
    </row>
    <row r="807" spans="1:67" ht="20.100000000000001" customHeight="1">
      <c r="A807" s="157"/>
      <c r="B807" s="1"/>
      <c r="C807" s="157"/>
      <c r="D807" s="1"/>
      <c r="E807" s="150"/>
      <c r="F807" s="150"/>
      <c r="G807" s="151"/>
      <c r="H807" s="150"/>
      <c r="I807" s="150"/>
      <c r="J807" s="151"/>
      <c r="K807" s="151"/>
      <c r="L807" s="150"/>
      <c r="M807" s="151"/>
      <c r="N807" s="151"/>
      <c r="O807" s="151"/>
      <c r="P807" s="150"/>
      <c r="Q807" s="150"/>
      <c r="R807" s="158"/>
      <c r="S807" s="158"/>
      <c r="T807" s="158"/>
      <c r="U807" s="158"/>
      <c r="V807" s="1"/>
      <c r="W807" s="1"/>
      <c r="X807" s="157"/>
      <c r="Y807" s="157"/>
      <c r="Z807" s="157"/>
      <c r="AA807" s="157"/>
      <c r="AB807" s="157"/>
      <c r="AC807" s="151"/>
      <c r="AD807" s="151"/>
      <c r="AE807" s="151"/>
      <c r="AF807" s="157"/>
      <c r="AG807" s="157"/>
      <c r="AH807" s="157"/>
      <c r="AI807" s="157"/>
      <c r="AJ807" s="157"/>
      <c r="AK807" s="157"/>
      <c r="AL807" s="157"/>
      <c r="AM807" s="157"/>
      <c r="AN807" s="159"/>
      <c r="AO807" s="159"/>
      <c r="AP807" s="160"/>
      <c r="AQ807" s="160"/>
      <c r="AR807" s="160"/>
      <c r="AS807" s="159"/>
      <c r="AT807" s="159"/>
      <c r="AU807" s="161"/>
      <c r="AV807" s="157"/>
      <c r="AW807" s="157"/>
      <c r="AX807" s="157"/>
      <c r="AY807" s="157"/>
      <c r="AZ807" s="157"/>
      <c r="BA807" s="157"/>
      <c r="BB807" s="157"/>
      <c r="BC807" s="151"/>
      <c r="BD807" s="157"/>
      <c r="BE807" s="157"/>
      <c r="BF807" s="157"/>
      <c r="BG807" s="157"/>
      <c r="BH807" s="157"/>
      <c r="BI807" s="157"/>
      <c r="BJ807" s="353"/>
      <c r="BK807" s="353"/>
      <c r="BL807" s="353"/>
      <c r="BM807" s="14"/>
      <c r="BN807" s="14"/>
      <c r="BO807" s="14"/>
    </row>
    <row r="808" spans="1:67" ht="20.100000000000001" customHeight="1">
      <c r="A808" s="157"/>
      <c r="B808" s="1"/>
      <c r="C808" s="157"/>
      <c r="D808" s="1"/>
      <c r="E808" s="150"/>
      <c r="F808" s="150"/>
      <c r="G808" s="151"/>
      <c r="H808" s="150"/>
      <c r="I808" s="150"/>
      <c r="J808" s="151"/>
      <c r="K808" s="151"/>
      <c r="L808" s="150"/>
      <c r="M808" s="151"/>
      <c r="N808" s="151"/>
      <c r="O808" s="151"/>
      <c r="P808" s="150"/>
      <c r="Q808" s="150"/>
      <c r="R808" s="158"/>
      <c r="S808" s="158"/>
      <c r="T808" s="158"/>
      <c r="U808" s="158"/>
      <c r="V808" s="1"/>
      <c r="W808" s="1"/>
      <c r="X808" s="157"/>
      <c r="Y808" s="157"/>
      <c r="Z808" s="157"/>
      <c r="AA808" s="157"/>
      <c r="AB808" s="157"/>
      <c r="AC808" s="151"/>
      <c r="AD808" s="151"/>
      <c r="AE808" s="151"/>
      <c r="AF808" s="157"/>
      <c r="AG808" s="157"/>
      <c r="AH808" s="157"/>
      <c r="AI808" s="157"/>
      <c r="AJ808" s="157"/>
      <c r="AK808" s="157"/>
      <c r="AL808" s="157"/>
      <c r="AM808" s="157"/>
      <c r="AN808" s="159"/>
      <c r="AO808" s="159"/>
      <c r="AP808" s="160"/>
      <c r="AQ808" s="160"/>
      <c r="AR808" s="160"/>
      <c r="AS808" s="159"/>
      <c r="AT808" s="159"/>
      <c r="AU808" s="161"/>
      <c r="AV808" s="157"/>
      <c r="AW808" s="157"/>
      <c r="AX808" s="157"/>
      <c r="AY808" s="157"/>
      <c r="AZ808" s="157"/>
      <c r="BA808" s="157"/>
      <c r="BB808" s="157"/>
      <c r="BC808" s="151"/>
      <c r="BD808" s="157"/>
      <c r="BE808" s="157"/>
      <c r="BF808" s="157"/>
      <c r="BG808" s="157"/>
      <c r="BH808" s="157"/>
      <c r="BI808" s="157"/>
      <c r="BJ808" s="353"/>
      <c r="BK808" s="353"/>
      <c r="BL808" s="353"/>
      <c r="BM808" s="14"/>
      <c r="BN808" s="14"/>
      <c r="BO808" s="14"/>
    </row>
    <row r="809" spans="1:67" ht="20.100000000000001" customHeight="1">
      <c r="A809" s="157"/>
      <c r="B809" s="1"/>
      <c r="C809" s="157"/>
      <c r="D809" s="1"/>
      <c r="E809" s="150"/>
      <c r="F809" s="150"/>
      <c r="G809" s="151"/>
      <c r="H809" s="150"/>
      <c r="I809" s="150"/>
      <c r="J809" s="151"/>
      <c r="K809" s="151"/>
      <c r="L809" s="150"/>
      <c r="M809" s="151"/>
      <c r="N809" s="151"/>
      <c r="O809" s="151"/>
      <c r="P809" s="150"/>
      <c r="Q809" s="150"/>
      <c r="R809" s="158"/>
      <c r="S809" s="158"/>
      <c r="T809" s="158"/>
      <c r="U809" s="158"/>
      <c r="V809" s="1"/>
      <c r="W809" s="1"/>
      <c r="X809" s="157"/>
      <c r="Y809" s="157"/>
      <c r="Z809" s="157"/>
      <c r="AA809" s="157"/>
      <c r="AB809" s="157"/>
      <c r="AC809" s="151"/>
      <c r="AD809" s="151"/>
      <c r="AE809" s="151"/>
      <c r="AF809" s="157"/>
      <c r="AG809" s="157"/>
      <c r="AH809" s="157"/>
      <c r="AI809" s="157"/>
      <c r="AJ809" s="157"/>
      <c r="AK809" s="157"/>
      <c r="AL809" s="157"/>
      <c r="AM809" s="157"/>
      <c r="AN809" s="159"/>
      <c r="AO809" s="159"/>
      <c r="AP809" s="160"/>
      <c r="AQ809" s="160"/>
      <c r="AR809" s="160"/>
      <c r="AS809" s="159"/>
      <c r="AT809" s="159"/>
      <c r="AU809" s="161"/>
      <c r="AV809" s="157"/>
      <c r="AW809" s="157"/>
      <c r="AX809" s="157"/>
      <c r="AY809" s="157"/>
      <c r="AZ809" s="157"/>
      <c r="BA809" s="157"/>
      <c r="BB809" s="157"/>
      <c r="BC809" s="151"/>
      <c r="BD809" s="157"/>
      <c r="BE809" s="157"/>
      <c r="BF809" s="157"/>
      <c r="BG809" s="157"/>
      <c r="BH809" s="157"/>
      <c r="BI809" s="157"/>
      <c r="BJ809" s="353"/>
      <c r="BK809" s="353"/>
      <c r="BL809" s="353"/>
      <c r="BM809" s="14"/>
      <c r="BN809" s="14"/>
      <c r="BO809" s="14"/>
    </row>
    <row r="810" spans="1:67" ht="20.100000000000001" customHeight="1">
      <c r="A810" s="157"/>
      <c r="B810" s="1"/>
      <c r="C810" s="157"/>
      <c r="D810" s="1"/>
      <c r="E810" s="150"/>
      <c r="F810" s="150"/>
      <c r="G810" s="151"/>
      <c r="H810" s="150"/>
      <c r="I810" s="150"/>
      <c r="J810" s="151"/>
      <c r="K810" s="151"/>
      <c r="L810" s="150"/>
      <c r="M810" s="151"/>
      <c r="N810" s="151"/>
      <c r="O810" s="151"/>
      <c r="P810" s="150"/>
      <c r="Q810" s="150"/>
      <c r="R810" s="158"/>
      <c r="S810" s="158"/>
      <c r="T810" s="158"/>
      <c r="U810" s="158"/>
      <c r="V810" s="1"/>
      <c r="W810" s="1"/>
      <c r="X810" s="157"/>
      <c r="Y810" s="157"/>
      <c r="Z810" s="157"/>
      <c r="AA810" s="157"/>
      <c r="AB810" s="157"/>
      <c r="AC810" s="151"/>
      <c r="AD810" s="151"/>
      <c r="AE810" s="151"/>
      <c r="AF810" s="157"/>
      <c r="AG810" s="157"/>
      <c r="AH810" s="157"/>
      <c r="AI810" s="157"/>
      <c r="AJ810" s="157"/>
      <c r="AK810" s="157"/>
      <c r="AL810" s="157"/>
      <c r="AM810" s="157"/>
      <c r="AN810" s="159"/>
      <c r="AO810" s="159"/>
      <c r="AP810" s="160"/>
      <c r="AQ810" s="160"/>
      <c r="AR810" s="160"/>
      <c r="AS810" s="159"/>
      <c r="AT810" s="159"/>
      <c r="AU810" s="161"/>
      <c r="AV810" s="157"/>
      <c r="AW810" s="157"/>
      <c r="AX810" s="157"/>
      <c r="AY810" s="157"/>
      <c r="AZ810" s="157"/>
      <c r="BA810" s="157"/>
      <c r="BB810" s="157"/>
      <c r="BC810" s="151"/>
      <c r="BD810" s="157"/>
      <c r="BE810" s="157"/>
      <c r="BF810" s="157"/>
      <c r="BG810" s="157"/>
      <c r="BH810" s="157"/>
      <c r="BI810" s="157"/>
      <c r="BJ810" s="353"/>
      <c r="BK810" s="353"/>
      <c r="BL810" s="353"/>
      <c r="BM810" s="14"/>
      <c r="BN810" s="14"/>
      <c r="BO810" s="14"/>
    </row>
    <row r="811" spans="1:67" ht="20.100000000000001" customHeight="1">
      <c r="A811" s="157"/>
      <c r="B811" s="1"/>
      <c r="C811" s="157"/>
      <c r="D811" s="1"/>
      <c r="E811" s="150"/>
      <c r="F811" s="150"/>
      <c r="G811" s="151"/>
      <c r="H811" s="150"/>
      <c r="I811" s="150"/>
      <c r="J811" s="151"/>
      <c r="K811" s="151"/>
      <c r="L811" s="150"/>
      <c r="M811" s="151"/>
      <c r="N811" s="151"/>
      <c r="O811" s="151"/>
      <c r="P811" s="150"/>
      <c r="Q811" s="150"/>
      <c r="R811" s="158"/>
      <c r="S811" s="158"/>
      <c r="T811" s="158"/>
      <c r="U811" s="158"/>
      <c r="V811" s="1"/>
      <c r="W811" s="1"/>
      <c r="X811" s="157"/>
      <c r="Y811" s="157"/>
      <c r="Z811" s="157"/>
      <c r="AA811" s="157"/>
      <c r="AB811" s="157"/>
      <c r="AC811" s="151"/>
      <c r="AD811" s="151"/>
      <c r="AE811" s="151"/>
      <c r="AF811" s="157"/>
      <c r="AG811" s="157"/>
      <c r="AH811" s="157"/>
      <c r="AI811" s="157"/>
      <c r="AJ811" s="157"/>
      <c r="AK811" s="157"/>
      <c r="AL811" s="157"/>
      <c r="AM811" s="157"/>
      <c r="AN811" s="159"/>
      <c r="AO811" s="159"/>
      <c r="AP811" s="160"/>
      <c r="AQ811" s="160"/>
      <c r="AR811" s="160"/>
      <c r="AS811" s="159"/>
      <c r="AT811" s="159"/>
      <c r="AU811" s="161"/>
      <c r="AV811" s="157"/>
      <c r="AW811" s="157"/>
      <c r="AX811" s="157"/>
      <c r="AY811" s="157"/>
      <c r="AZ811" s="157"/>
      <c r="BA811" s="157"/>
      <c r="BB811" s="157"/>
      <c r="BC811" s="151"/>
      <c r="BD811" s="157"/>
      <c r="BE811" s="157"/>
      <c r="BF811" s="157"/>
      <c r="BG811" s="157"/>
      <c r="BH811" s="157"/>
      <c r="BI811" s="157"/>
      <c r="BJ811" s="353"/>
      <c r="BK811" s="353"/>
      <c r="BL811" s="353"/>
      <c r="BM811" s="14"/>
      <c r="BN811" s="14"/>
      <c r="BO811" s="14"/>
    </row>
    <row r="812" spans="1:67" ht="20.100000000000001" customHeight="1">
      <c r="A812" s="157"/>
      <c r="B812" s="1"/>
      <c r="C812" s="157"/>
      <c r="D812" s="1"/>
      <c r="E812" s="150"/>
      <c r="F812" s="150"/>
      <c r="G812" s="151"/>
      <c r="H812" s="150"/>
      <c r="I812" s="150"/>
      <c r="J812" s="151"/>
      <c r="K812" s="151"/>
      <c r="L812" s="150"/>
      <c r="M812" s="151"/>
      <c r="N812" s="151"/>
      <c r="O812" s="151"/>
      <c r="P812" s="150"/>
      <c r="Q812" s="150"/>
      <c r="R812" s="158"/>
      <c r="S812" s="158"/>
      <c r="T812" s="158"/>
      <c r="U812" s="158"/>
      <c r="V812" s="1"/>
      <c r="W812" s="1"/>
      <c r="X812" s="157"/>
      <c r="Y812" s="157"/>
      <c r="Z812" s="157"/>
      <c r="AA812" s="157"/>
      <c r="AB812" s="157"/>
      <c r="AC812" s="151"/>
      <c r="AD812" s="151"/>
      <c r="AE812" s="151"/>
      <c r="AF812" s="157"/>
      <c r="AG812" s="157"/>
      <c r="AH812" s="157"/>
      <c r="AI812" s="157"/>
      <c r="AJ812" s="157"/>
      <c r="AK812" s="157"/>
      <c r="AL812" s="157"/>
      <c r="AM812" s="157"/>
      <c r="AN812" s="159"/>
      <c r="AO812" s="159"/>
      <c r="AP812" s="160"/>
      <c r="AQ812" s="160"/>
      <c r="AR812" s="160"/>
      <c r="AS812" s="159"/>
      <c r="AT812" s="159"/>
      <c r="AU812" s="161"/>
      <c r="AV812" s="157"/>
      <c r="AW812" s="157"/>
      <c r="AX812" s="157"/>
      <c r="AY812" s="157"/>
      <c r="AZ812" s="157"/>
      <c r="BA812" s="157"/>
      <c r="BB812" s="157"/>
      <c r="BC812" s="151"/>
      <c r="BD812" s="157"/>
      <c r="BE812" s="157"/>
      <c r="BF812" s="157"/>
      <c r="BG812" s="157"/>
      <c r="BH812" s="157"/>
      <c r="BI812" s="157"/>
      <c r="BJ812" s="353"/>
      <c r="BK812" s="353"/>
      <c r="BL812" s="353"/>
      <c r="BM812" s="14"/>
      <c r="BN812" s="14"/>
      <c r="BO812" s="14"/>
    </row>
    <row r="813" spans="1:67" ht="20.100000000000001" customHeight="1">
      <c r="A813" s="157"/>
      <c r="B813" s="1"/>
      <c r="C813" s="157"/>
      <c r="D813" s="1"/>
      <c r="E813" s="150"/>
      <c r="F813" s="150"/>
      <c r="G813" s="151"/>
      <c r="H813" s="150"/>
      <c r="I813" s="150"/>
      <c r="J813" s="151"/>
      <c r="K813" s="151"/>
      <c r="L813" s="150"/>
      <c r="M813" s="151"/>
      <c r="N813" s="151"/>
      <c r="O813" s="151"/>
      <c r="P813" s="150"/>
      <c r="Q813" s="150"/>
      <c r="R813" s="158"/>
      <c r="S813" s="158"/>
      <c r="T813" s="158"/>
      <c r="U813" s="158"/>
      <c r="V813" s="1"/>
      <c r="W813" s="1"/>
      <c r="X813" s="157"/>
      <c r="Y813" s="157"/>
      <c r="Z813" s="157"/>
      <c r="AA813" s="157"/>
      <c r="AB813" s="157"/>
      <c r="AC813" s="151"/>
      <c r="AD813" s="151"/>
      <c r="AE813" s="151"/>
      <c r="AF813" s="157"/>
      <c r="AG813" s="157"/>
      <c r="AH813" s="157"/>
      <c r="AI813" s="157"/>
      <c r="AJ813" s="157"/>
      <c r="AK813" s="157"/>
      <c r="AL813" s="157"/>
      <c r="AM813" s="157"/>
      <c r="AN813" s="159"/>
      <c r="AO813" s="159"/>
      <c r="AP813" s="160"/>
      <c r="AQ813" s="160"/>
      <c r="AR813" s="160"/>
      <c r="AS813" s="159"/>
      <c r="AT813" s="159"/>
      <c r="AU813" s="161"/>
      <c r="AV813" s="157"/>
      <c r="AW813" s="157"/>
      <c r="AX813" s="157"/>
      <c r="AY813" s="157"/>
      <c r="AZ813" s="157"/>
      <c r="BA813" s="157"/>
      <c r="BB813" s="157"/>
      <c r="BC813" s="151"/>
      <c r="BD813" s="157"/>
      <c r="BE813" s="157"/>
      <c r="BF813" s="157"/>
      <c r="BG813" s="157"/>
      <c r="BH813" s="157"/>
      <c r="BI813" s="157"/>
      <c r="BJ813" s="353"/>
      <c r="BK813" s="353"/>
      <c r="BL813" s="353"/>
      <c r="BM813" s="14"/>
      <c r="BN813" s="14"/>
      <c r="BO813" s="14"/>
    </row>
    <row r="814" spans="1:67" ht="20.100000000000001" customHeight="1">
      <c r="A814" s="157"/>
      <c r="B814" s="1"/>
      <c r="C814" s="157"/>
      <c r="D814" s="1"/>
      <c r="E814" s="150"/>
      <c r="F814" s="150"/>
      <c r="G814" s="151"/>
      <c r="H814" s="150"/>
      <c r="I814" s="150"/>
      <c r="J814" s="151"/>
      <c r="K814" s="151"/>
      <c r="L814" s="150"/>
      <c r="M814" s="151"/>
      <c r="N814" s="151"/>
      <c r="O814" s="151"/>
      <c r="P814" s="150"/>
      <c r="Q814" s="150"/>
      <c r="R814" s="158"/>
      <c r="S814" s="158"/>
      <c r="T814" s="158"/>
      <c r="U814" s="158"/>
      <c r="V814" s="1"/>
      <c r="W814" s="1"/>
      <c r="X814" s="157"/>
      <c r="Y814" s="157"/>
      <c r="Z814" s="157"/>
      <c r="AA814" s="157"/>
      <c r="AB814" s="157"/>
      <c r="AC814" s="151"/>
      <c r="AD814" s="151"/>
      <c r="AE814" s="151"/>
      <c r="AF814" s="157"/>
      <c r="AG814" s="157"/>
      <c r="AH814" s="157"/>
      <c r="AI814" s="157"/>
      <c r="AJ814" s="157"/>
      <c r="AK814" s="157"/>
      <c r="AL814" s="157"/>
      <c r="AM814" s="157"/>
      <c r="AN814" s="159"/>
      <c r="AO814" s="159"/>
      <c r="AP814" s="160"/>
      <c r="AQ814" s="160"/>
      <c r="AR814" s="160"/>
      <c r="AS814" s="159"/>
      <c r="AT814" s="159"/>
      <c r="AU814" s="161"/>
      <c r="AV814" s="157"/>
      <c r="AW814" s="157"/>
      <c r="AX814" s="157"/>
      <c r="AY814" s="157"/>
      <c r="AZ814" s="157"/>
      <c r="BA814" s="157"/>
      <c r="BB814" s="157"/>
      <c r="BC814" s="151"/>
      <c r="BD814" s="157"/>
      <c r="BE814" s="157"/>
      <c r="BF814" s="157"/>
      <c r="BG814" s="157"/>
      <c r="BH814" s="157"/>
      <c r="BI814" s="157"/>
      <c r="BJ814" s="353"/>
      <c r="BK814" s="353"/>
      <c r="BL814" s="353"/>
      <c r="BM814" s="14"/>
      <c r="BN814" s="14"/>
      <c r="BO814" s="14"/>
    </row>
    <row r="815" spans="1:67" ht="20.100000000000001" customHeight="1">
      <c r="A815" s="157"/>
      <c r="B815" s="1"/>
      <c r="C815" s="157"/>
      <c r="D815" s="1"/>
      <c r="E815" s="150"/>
      <c r="F815" s="150"/>
      <c r="G815" s="151"/>
      <c r="H815" s="150"/>
      <c r="I815" s="150"/>
      <c r="J815" s="151"/>
      <c r="K815" s="151"/>
      <c r="L815" s="150"/>
      <c r="M815" s="151"/>
      <c r="N815" s="151"/>
      <c r="O815" s="151"/>
      <c r="P815" s="150"/>
      <c r="Q815" s="150"/>
      <c r="R815" s="158"/>
      <c r="S815" s="158"/>
      <c r="T815" s="158"/>
      <c r="U815" s="158"/>
      <c r="V815" s="1"/>
      <c r="W815" s="1"/>
      <c r="X815" s="157"/>
      <c r="Y815" s="157"/>
      <c r="Z815" s="157"/>
      <c r="AA815" s="157"/>
      <c r="AB815" s="157"/>
      <c r="AC815" s="151"/>
      <c r="AD815" s="151"/>
      <c r="AE815" s="151"/>
      <c r="AF815" s="157"/>
      <c r="AG815" s="157"/>
      <c r="AH815" s="157"/>
      <c r="AI815" s="157"/>
      <c r="AJ815" s="157"/>
      <c r="AK815" s="157"/>
      <c r="AL815" s="157"/>
      <c r="AM815" s="157"/>
      <c r="AN815" s="159"/>
      <c r="AO815" s="159"/>
      <c r="AP815" s="160"/>
      <c r="AQ815" s="160"/>
      <c r="AR815" s="160"/>
      <c r="AS815" s="159"/>
      <c r="AT815" s="159"/>
      <c r="AU815" s="161"/>
      <c r="AV815" s="157"/>
      <c r="AW815" s="157"/>
      <c r="AX815" s="157"/>
      <c r="AY815" s="157"/>
      <c r="AZ815" s="157"/>
      <c r="BA815" s="157"/>
      <c r="BB815" s="157"/>
      <c r="BC815" s="151"/>
      <c r="BD815" s="157"/>
      <c r="BE815" s="157"/>
      <c r="BF815" s="157"/>
      <c r="BG815" s="157"/>
      <c r="BH815" s="157"/>
      <c r="BI815" s="157"/>
      <c r="BJ815" s="353"/>
      <c r="BK815" s="353"/>
      <c r="BL815" s="353"/>
      <c r="BM815" s="14"/>
      <c r="BN815" s="14"/>
      <c r="BO815" s="14"/>
    </row>
    <row r="816" spans="1:67" ht="20.100000000000001" customHeight="1">
      <c r="A816" s="157"/>
      <c r="B816" s="1"/>
      <c r="C816" s="157"/>
      <c r="D816" s="1"/>
      <c r="E816" s="150"/>
      <c r="F816" s="150"/>
      <c r="G816" s="151"/>
      <c r="H816" s="150"/>
      <c r="I816" s="150"/>
      <c r="J816" s="151"/>
      <c r="K816" s="151"/>
      <c r="L816" s="150"/>
      <c r="M816" s="151"/>
      <c r="N816" s="151"/>
      <c r="O816" s="151"/>
      <c r="P816" s="150"/>
      <c r="Q816" s="150"/>
      <c r="R816" s="158"/>
      <c r="S816" s="158"/>
      <c r="T816" s="158"/>
      <c r="U816" s="158"/>
      <c r="V816" s="1"/>
      <c r="W816" s="1"/>
      <c r="X816" s="157"/>
      <c r="Y816" s="157"/>
      <c r="Z816" s="157"/>
      <c r="AA816" s="157"/>
      <c r="AB816" s="157"/>
      <c r="AC816" s="151"/>
      <c r="AD816" s="151"/>
      <c r="AE816" s="151"/>
      <c r="AF816" s="157"/>
      <c r="AG816" s="157"/>
      <c r="AH816" s="157"/>
      <c r="AI816" s="157"/>
      <c r="AJ816" s="157"/>
      <c r="AK816" s="157"/>
      <c r="AL816" s="157"/>
      <c r="AM816" s="157"/>
      <c r="AN816" s="159"/>
      <c r="AO816" s="159"/>
      <c r="AP816" s="160"/>
      <c r="AQ816" s="160"/>
      <c r="AR816" s="160"/>
      <c r="AS816" s="159"/>
      <c r="AT816" s="159"/>
      <c r="AU816" s="161"/>
      <c r="AV816" s="157"/>
      <c r="AW816" s="157"/>
      <c r="AX816" s="157"/>
      <c r="AY816" s="157"/>
      <c r="AZ816" s="157"/>
      <c r="BA816" s="157"/>
      <c r="BB816" s="157"/>
      <c r="BC816" s="151"/>
      <c r="BD816" s="157"/>
      <c r="BE816" s="157"/>
      <c r="BF816" s="157"/>
      <c r="BG816" s="157"/>
      <c r="BH816" s="157"/>
      <c r="BI816" s="157"/>
      <c r="BJ816" s="353"/>
      <c r="BK816" s="353"/>
      <c r="BL816" s="353"/>
      <c r="BM816" s="14"/>
      <c r="BN816" s="14"/>
      <c r="BO816" s="14"/>
    </row>
    <row r="817" spans="1:67" ht="20.100000000000001" customHeight="1">
      <c r="A817" s="157"/>
      <c r="B817" s="1"/>
      <c r="C817" s="157"/>
      <c r="D817" s="1"/>
      <c r="E817" s="150"/>
      <c r="F817" s="150"/>
      <c r="G817" s="151"/>
      <c r="H817" s="150"/>
      <c r="I817" s="150"/>
      <c r="J817" s="151"/>
      <c r="K817" s="151"/>
      <c r="L817" s="150"/>
      <c r="M817" s="151"/>
      <c r="N817" s="151"/>
      <c r="O817" s="151"/>
      <c r="P817" s="150"/>
      <c r="Q817" s="150"/>
      <c r="R817" s="158"/>
      <c r="S817" s="158"/>
      <c r="T817" s="158"/>
      <c r="U817" s="158"/>
      <c r="V817" s="1"/>
      <c r="W817" s="1"/>
      <c r="X817" s="157"/>
      <c r="Y817" s="157"/>
      <c r="Z817" s="157"/>
      <c r="AA817" s="157"/>
      <c r="AB817" s="157"/>
      <c r="AC817" s="151"/>
      <c r="AD817" s="151"/>
      <c r="AE817" s="151"/>
      <c r="AF817" s="157"/>
      <c r="AG817" s="157"/>
      <c r="AH817" s="157"/>
      <c r="AI817" s="157"/>
      <c r="AJ817" s="157"/>
      <c r="AK817" s="157"/>
      <c r="AL817" s="157"/>
      <c r="AM817" s="157"/>
      <c r="AN817" s="159"/>
      <c r="AO817" s="159"/>
      <c r="AP817" s="160"/>
      <c r="AQ817" s="160"/>
      <c r="AR817" s="160"/>
      <c r="AS817" s="159"/>
      <c r="AT817" s="159"/>
      <c r="AU817" s="161"/>
      <c r="AV817" s="157"/>
      <c r="AW817" s="157"/>
      <c r="AX817" s="157"/>
      <c r="AY817" s="157"/>
      <c r="AZ817" s="157"/>
      <c r="BA817" s="157"/>
      <c r="BB817" s="157"/>
      <c r="BC817" s="151"/>
      <c r="BD817" s="157"/>
      <c r="BE817" s="157"/>
      <c r="BF817" s="157"/>
      <c r="BG817" s="157"/>
      <c r="BH817" s="157"/>
      <c r="BI817" s="157"/>
      <c r="BJ817" s="353"/>
      <c r="BK817" s="353"/>
      <c r="BL817" s="353"/>
      <c r="BM817" s="14"/>
      <c r="BN817" s="14"/>
      <c r="BO817" s="14"/>
    </row>
    <row r="818" spans="1:67" ht="20.100000000000001" customHeight="1">
      <c r="A818" s="157"/>
      <c r="B818" s="1"/>
      <c r="C818" s="157"/>
      <c r="D818" s="1"/>
      <c r="E818" s="150"/>
      <c r="F818" s="150"/>
      <c r="G818" s="151"/>
      <c r="H818" s="150"/>
      <c r="I818" s="150"/>
      <c r="J818" s="151"/>
      <c r="K818" s="151"/>
      <c r="L818" s="150"/>
      <c r="M818" s="151"/>
      <c r="N818" s="151"/>
      <c r="O818" s="151"/>
      <c r="P818" s="150"/>
      <c r="Q818" s="150"/>
      <c r="R818" s="158"/>
      <c r="S818" s="158"/>
      <c r="T818" s="158"/>
      <c r="U818" s="158"/>
      <c r="V818" s="1"/>
      <c r="W818" s="1"/>
      <c r="X818" s="157"/>
      <c r="Y818" s="157"/>
      <c r="Z818" s="157"/>
      <c r="AA818" s="157"/>
      <c r="AB818" s="157"/>
      <c r="AC818" s="151"/>
      <c r="AD818" s="151"/>
      <c r="AE818" s="151"/>
      <c r="AF818" s="157"/>
      <c r="AG818" s="157"/>
      <c r="AH818" s="157"/>
      <c r="AI818" s="157"/>
      <c r="AJ818" s="157"/>
      <c r="AK818" s="157"/>
      <c r="AL818" s="157"/>
      <c r="AM818" s="157"/>
      <c r="AN818" s="159"/>
      <c r="AO818" s="159"/>
      <c r="AP818" s="160"/>
      <c r="AQ818" s="160"/>
      <c r="AR818" s="160"/>
      <c r="AS818" s="159"/>
      <c r="AT818" s="159"/>
      <c r="AU818" s="161"/>
      <c r="AV818" s="157"/>
      <c r="AW818" s="157"/>
      <c r="AX818" s="157"/>
      <c r="AY818" s="157"/>
      <c r="AZ818" s="157"/>
      <c r="BA818" s="157"/>
      <c r="BB818" s="157"/>
      <c r="BC818" s="151"/>
      <c r="BD818" s="157"/>
      <c r="BE818" s="157"/>
      <c r="BF818" s="157"/>
      <c r="BG818" s="157"/>
      <c r="BH818" s="157"/>
      <c r="BI818" s="157"/>
      <c r="BJ818" s="353"/>
      <c r="BK818" s="353"/>
      <c r="BL818" s="353"/>
      <c r="BM818" s="14"/>
      <c r="BN818" s="14"/>
      <c r="BO818" s="14"/>
    </row>
    <row r="819" spans="1:67" ht="20.100000000000001" customHeight="1">
      <c r="A819" s="157"/>
      <c r="B819" s="1"/>
      <c r="C819" s="157"/>
      <c r="D819" s="1"/>
      <c r="E819" s="150"/>
      <c r="F819" s="150"/>
      <c r="G819" s="151"/>
      <c r="H819" s="150"/>
      <c r="I819" s="150"/>
      <c r="J819" s="151"/>
      <c r="K819" s="151"/>
      <c r="L819" s="150"/>
      <c r="M819" s="151"/>
      <c r="N819" s="151"/>
      <c r="O819" s="151"/>
      <c r="P819" s="150"/>
      <c r="Q819" s="150"/>
      <c r="R819" s="158"/>
      <c r="S819" s="158"/>
      <c r="T819" s="158"/>
      <c r="U819" s="158"/>
      <c r="V819" s="1"/>
      <c r="W819" s="1"/>
      <c r="X819" s="157"/>
      <c r="Y819" s="157"/>
      <c r="Z819" s="157"/>
      <c r="AA819" s="157"/>
      <c r="AB819" s="157"/>
      <c r="AC819" s="151"/>
      <c r="AD819" s="151"/>
      <c r="AE819" s="151"/>
      <c r="AF819" s="157"/>
      <c r="AG819" s="157"/>
      <c r="AH819" s="157"/>
      <c r="AI819" s="157"/>
      <c r="AJ819" s="157"/>
      <c r="AK819" s="157"/>
      <c r="AL819" s="157"/>
      <c r="AM819" s="157"/>
      <c r="AN819" s="159"/>
      <c r="AO819" s="159"/>
      <c r="AP819" s="160"/>
      <c r="AQ819" s="160"/>
      <c r="AR819" s="160"/>
      <c r="AS819" s="159"/>
      <c r="AT819" s="159"/>
      <c r="AU819" s="161"/>
      <c r="AV819" s="157"/>
      <c r="AW819" s="157"/>
      <c r="AX819" s="157"/>
      <c r="AY819" s="157"/>
      <c r="AZ819" s="157"/>
      <c r="BA819" s="157"/>
      <c r="BB819" s="157"/>
      <c r="BC819" s="151"/>
      <c r="BD819" s="157"/>
      <c r="BE819" s="157"/>
      <c r="BF819" s="157"/>
      <c r="BG819" s="157"/>
      <c r="BH819" s="157"/>
      <c r="BI819" s="157"/>
      <c r="BJ819" s="353"/>
      <c r="BK819" s="353"/>
      <c r="BL819" s="353"/>
      <c r="BM819" s="14"/>
      <c r="BN819" s="14"/>
      <c r="BO819" s="14"/>
    </row>
    <row r="820" spans="1:67" ht="20.100000000000001" customHeight="1">
      <c r="A820" s="157"/>
      <c r="B820" s="1"/>
      <c r="C820" s="157"/>
      <c r="D820" s="1"/>
      <c r="E820" s="150"/>
      <c r="F820" s="150"/>
      <c r="G820" s="151"/>
      <c r="H820" s="150"/>
      <c r="I820" s="150"/>
      <c r="J820" s="151"/>
      <c r="K820" s="151"/>
      <c r="L820" s="150"/>
      <c r="M820" s="151"/>
      <c r="N820" s="151"/>
      <c r="O820" s="151"/>
      <c r="P820" s="150"/>
      <c r="Q820" s="150"/>
      <c r="R820" s="158"/>
      <c r="S820" s="158"/>
      <c r="T820" s="158"/>
      <c r="U820" s="158"/>
      <c r="V820" s="1"/>
      <c r="W820" s="1"/>
      <c r="X820" s="157"/>
      <c r="Y820" s="157"/>
      <c r="Z820" s="157"/>
      <c r="AA820" s="157"/>
      <c r="AB820" s="157"/>
      <c r="AC820" s="151"/>
      <c r="AD820" s="151"/>
      <c r="AE820" s="151"/>
      <c r="AF820" s="157"/>
      <c r="AG820" s="157"/>
      <c r="AH820" s="157"/>
      <c r="AI820" s="157"/>
      <c r="AJ820" s="157"/>
      <c r="AK820" s="157"/>
      <c r="AL820" s="157"/>
      <c r="AM820" s="157"/>
      <c r="AN820" s="159"/>
      <c r="AO820" s="159"/>
      <c r="AP820" s="160"/>
      <c r="AQ820" s="160"/>
      <c r="AR820" s="160"/>
      <c r="AS820" s="159"/>
      <c r="AT820" s="159"/>
      <c r="AU820" s="161"/>
      <c r="AV820" s="157"/>
      <c r="AW820" s="157"/>
      <c r="AX820" s="157"/>
      <c r="AY820" s="157"/>
      <c r="AZ820" s="157"/>
      <c r="BA820" s="157"/>
      <c r="BB820" s="157"/>
      <c r="BC820" s="151"/>
      <c r="BD820" s="157"/>
      <c r="BE820" s="157"/>
      <c r="BF820" s="157"/>
      <c r="BG820" s="157"/>
      <c r="BH820" s="157"/>
      <c r="BI820" s="157"/>
      <c r="BJ820" s="353"/>
      <c r="BK820" s="353"/>
      <c r="BL820" s="353"/>
      <c r="BM820" s="14"/>
      <c r="BN820" s="14"/>
      <c r="BO820" s="14"/>
    </row>
    <row r="821" spans="1:67" ht="20.100000000000001" customHeight="1">
      <c r="A821" s="157"/>
      <c r="B821" s="1"/>
      <c r="C821" s="157"/>
      <c r="D821" s="1"/>
      <c r="E821" s="150"/>
      <c r="F821" s="150"/>
      <c r="G821" s="151"/>
      <c r="H821" s="150"/>
      <c r="I821" s="150"/>
      <c r="J821" s="151"/>
      <c r="K821" s="151"/>
      <c r="L821" s="150"/>
      <c r="M821" s="151"/>
      <c r="N821" s="151"/>
      <c r="O821" s="151"/>
      <c r="P821" s="150"/>
      <c r="Q821" s="150"/>
      <c r="R821" s="158"/>
      <c r="S821" s="158"/>
      <c r="T821" s="158"/>
      <c r="U821" s="158"/>
      <c r="V821" s="1"/>
      <c r="W821" s="1"/>
      <c r="X821" s="157"/>
      <c r="Y821" s="157"/>
      <c r="Z821" s="157"/>
      <c r="AA821" s="157"/>
      <c r="AB821" s="157"/>
      <c r="AC821" s="151"/>
      <c r="AD821" s="151"/>
      <c r="AE821" s="151"/>
      <c r="AF821" s="157"/>
      <c r="AG821" s="157"/>
      <c r="AH821" s="157"/>
      <c r="AI821" s="157"/>
      <c r="AJ821" s="157"/>
      <c r="AK821" s="157"/>
      <c r="AL821" s="157"/>
      <c r="AM821" s="157"/>
      <c r="AN821" s="159"/>
      <c r="AO821" s="159"/>
      <c r="AP821" s="160"/>
      <c r="AQ821" s="160"/>
      <c r="AR821" s="160"/>
      <c r="AS821" s="159"/>
      <c r="AT821" s="159"/>
      <c r="AU821" s="161"/>
      <c r="AV821" s="157"/>
      <c r="AW821" s="157"/>
      <c r="AX821" s="157"/>
      <c r="AY821" s="157"/>
      <c r="AZ821" s="157"/>
      <c r="BA821" s="157"/>
      <c r="BB821" s="157"/>
      <c r="BC821" s="151"/>
      <c r="BD821" s="157"/>
      <c r="BE821" s="157"/>
      <c r="BF821" s="157"/>
      <c r="BG821" s="157"/>
      <c r="BH821" s="157"/>
      <c r="BI821" s="157"/>
      <c r="BJ821" s="353"/>
      <c r="BK821" s="353"/>
      <c r="BL821" s="353"/>
      <c r="BM821" s="14"/>
      <c r="BN821" s="14"/>
      <c r="BO821" s="14"/>
    </row>
    <row r="822" spans="1:67" ht="20.100000000000001" customHeight="1">
      <c r="A822" s="157"/>
      <c r="B822" s="1"/>
      <c r="C822" s="157"/>
      <c r="D822" s="1"/>
      <c r="E822" s="150"/>
      <c r="F822" s="150"/>
      <c r="G822" s="151"/>
      <c r="H822" s="150"/>
      <c r="I822" s="150"/>
      <c r="J822" s="151"/>
      <c r="K822" s="151"/>
      <c r="L822" s="150"/>
      <c r="M822" s="151"/>
      <c r="N822" s="151"/>
      <c r="O822" s="151"/>
      <c r="P822" s="150"/>
      <c r="Q822" s="150"/>
      <c r="R822" s="158"/>
      <c r="S822" s="158"/>
      <c r="T822" s="158"/>
      <c r="U822" s="158"/>
      <c r="V822" s="1"/>
      <c r="W822" s="1"/>
      <c r="X822" s="157"/>
      <c r="Y822" s="157"/>
      <c r="Z822" s="157"/>
      <c r="AA822" s="157"/>
      <c r="AB822" s="157"/>
      <c r="AC822" s="151"/>
      <c r="AD822" s="151"/>
      <c r="AE822" s="151"/>
      <c r="AF822" s="157"/>
      <c r="AG822" s="157"/>
      <c r="AH822" s="157"/>
      <c r="AI822" s="157"/>
      <c r="AJ822" s="157"/>
      <c r="AK822" s="157"/>
      <c r="AL822" s="157"/>
      <c r="AM822" s="157"/>
      <c r="AN822" s="159"/>
      <c r="AO822" s="159"/>
      <c r="AP822" s="160"/>
      <c r="AQ822" s="160"/>
      <c r="AR822" s="160"/>
      <c r="AS822" s="159"/>
      <c r="AT822" s="159"/>
      <c r="AU822" s="161"/>
      <c r="AV822" s="157"/>
      <c r="AW822" s="157"/>
      <c r="AX822" s="157"/>
      <c r="AY822" s="157"/>
      <c r="AZ822" s="157"/>
      <c r="BA822" s="157"/>
      <c r="BB822" s="157"/>
      <c r="BC822" s="151"/>
      <c r="BD822" s="157"/>
      <c r="BE822" s="157"/>
      <c r="BF822" s="157"/>
      <c r="BG822" s="157"/>
      <c r="BH822" s="157"/>
      <c r="BI822" s="157"/>
      <c r="BJ822" s="353"/>
      <c r="BK822" s="353"/>
      <c r="BL822" s="353"/>
      <c r="BM822" s="14"/>
      <c r="BN822" s="14"/>
      <c r="BO822" s="14"/>
    </row>
    <row r="823" spans="1:67" ht="20.100000000000001" customHeight="1">
      <c r="A823" s="157"/>
      <c r="B823" s="1"/>
      <c r="C823" s="157"/>
      <c r="D823" s="1"/>
      <c r="E823" s="150"/>
      <c r="F823" s="150"/>
      <c r="G823" s="151"/>
      <c r="H823" s="150"/>
      <c r="I823" s="150"/>
      <c r="J823" s="151"/>
      <c r="K823" s="151"/>
      <c r="L823" s="150"/>
      <c r="M823" s="151"/>
      <c r="N823" s="151"/>
      <c r="O823" s="151"/>
      <c r="P823" s="150"/>
      <c r="Q823" s="150"/>
      <c r="R823" s="158"/>
      <c r="S823" s="158"/>
      <c r="T823" s="158"/>
      <c r="U823" s="158"/>
      <c r="V823" s="1"/>
      <c r="W823" s="1"/>
      <c r="X823" s="157"/>
      <c r="Y823" s="157"/>
      <c r="Z823" s="157"/>
      <c r="AA823" s="157"/>
      <c r="AB823" s="157"/>
      <c r="AC823" s="151"/>
      <c r="AD823" s="151"/>
      <c r="AE823" s="151"/>
      <c r="AF823" s="157"/>
      <c r="AG823" s="157"/>
      <c r="AH823" s="157"/>
      <c r="AI823" s="157"/>
      <c r="AJ823" s="157"/>
      <c r="AK823" s="157"/>
      <c r="AL823" s="157"/>
      <c r="AM823" s="157"/>
      <c r="AN823" s="159"/>
      <c r="AO823" s="159"/>
      <c r="AP823" s="160"/>
      <c r="AQ823" s="160"/>
      <c r="AR823" s="160"/>
      <c r="AS823" s="159"/>
      <c r="AT823" s="159"/>
      <c r="AU823" s="161"/>
      <c r="AV823" s="157"/>
      <c r="AW823" s="157"/>
      <c r="AX823" s="157"/>
      <c r="AY823" s="157"/>
      <c r="AZ823" s="157"/>
      <c r="BA823" s="157"/>
      <c r="BB823" s="157"/>
      <c r="BC823" s="151"/>
      <c r="BD823" s="157"/>
      <c r="BE823" s="157"/>
      <c r="BF823" s="157"/>
      <c r="BG823" s="157"/>
      <c r="BH823" s="157"/>
      <c r="BI823" s="157"/>
      <c r="BJ823" s="353"/>
      <c r="BK823" s="353"/>
      <c r="BL823" s="353"/>
      <c r="BM823" s="14"/>
      <c r="BN823" s="14"/>
      <c r="BO823" s="14"/>
    </row>
    <row r="824" spans="1:67" ht="20.100000000000001" customHeight="1">
      <c r="A824" s="157"/>
      <c r="B824" s="1"/>
      <c r="C824" s="157"/>
      <c r="D824" s="1"/>
      <c r="E824" s="150"/>
      <c r="F824" s="150"/>
      <c r="G824" s="151"/>
      <c r="H824" s="150"/>
      <c r="I824" s="150"/>
      <c r="J824" s="151"/>
      <c r="K824" s="151"/>
      <c r="L824" s="150"/>
      <c r="M824" s="151"/>
      <c r="N824" s="151"/>
      <c r="O824" s="151"/>
      <c r="P824" s="150"/>
      <c r="Q824" s="150"/>
      <c r="R824" s="158"/>
      <c r="S824" s="158"/>
      <c r="T824" s="158"/>
      <c r="U824" s="158"/>
      <c r="V824" s="1"/>
      <c r="W824" s="1"/>
      <c r="X824" s="157"/>
      <c r="Y824" s="157"/>
      <c r="Z824" s="157"/>
      <c r="AA824" s="157"/>
      <c r="AB824" s="157"/>
      <c r="AC824" s="151"/>
      <c r="AD824" s="151"/>
      <c r="AE824" s="151"/>
      <c r="AF824" s="157"/>
      <c r="AG824" s="157"/>
      <c r="AH824" s="157"/>
      <c r="AI824" s="157"/>
      <c r="AJ824" s="157"/>
      <c r="AK824" s="157"/>
      <c r="AL824" s="157"/>
      <c r="AM824" s="157"/>
      <c r="AN824" s="159"/>
      <c r="AO824" s="159"/>
      <c r="AP824" s="160"/>
      <c r="AQ824" s="160"/>
      <c r="AR824" s="160"/>
      <c r="AS824" s="159"/>
      <c r="AT824" s="159"/>
      <c r="AU824" s="161"/>
      <c r="AV824" s="157"/>
      <c r="AW824" s="157"/>
      <c r="AX824" s="157"/>
      <c r="AY824" s="157"/>
      <c r="AZ824" s="157"/>
      <c r="BA824" s="157"/>
      <c r="BB824" s="157"/>
      <c r="BC824" s="151"/>
      <c r="BD824" s="157"/>
      <c r="BE824" s="157"/>
      <c r="BF824" s="157"/>
      <c r="BG824" s="157"/>
      <c r="BH824" s="157"/>
      <c r="BI824" s="157"/>
      <c r="BJ824" s="353"/>
      <c r="BK824" s="353"/>
      <c r="BL824" s="353"/>
      <c r="BM824" s="14"/>
      <c r="BN824" s="14"/>
      <c r="BO824" s="14"/>
    </row>
    <row r="825" spans="1:67" ht="20.100000000000001" customHeight="1">
      <c r="A825" s="157"/>
      <c r="B825" s="1"/>
      <c r="C825" s="157"/>
      <c r="D825" s="1"/>
      <c r="E825" s="150"/>
      <c r="F825" s="150"/>
      <c r="G825" s="151"/>
      <c r="H825" s="150"/>
      <c r="I825" s="150"/>
      <c r="J825" s="151"/>
      <c r="K825" s="151"/>
      <c r="L825" s="150"/>
      <c r="M825" s="151"/>
      <c r="N825" s="151"/>
      <c r="O825" s="151"/>
      <c r="P825" s="150"/>
      <c r="Q825" s="150"/>
      <c r="R825" s="158"/>
      <c r="S825" s="158"/>
      <c r="T825" s="158"/>
      <c r="U825" s="158"/>
      <c r="V825" s="1"/>
      <c r="W825" s="1"/>
      <c r="X825" s="157"/>
      <c r="Y825" s="157"/>
      <c r="Z825" s="157"/>
      <c r="AA825" s="157"/>
      <c r="AB825" s="157"/>
      <c r="AC825" s="151"/>
      <c r="AD825" s="151"/>
      <c r="AE825" s="151"/>
      <c r="AF825" s="157"/>
      <c r="AG825" s="157"/>
      <c r="AH825" s="157"/>
      <c r="AI825" s="157"/>
      <c r="AJ825" s="157"/>
      <c r="AK825" s="157"/>
      <c r="AL825" s="157"/>
      <c r="AM825" s="157"/>
      <c r="AN825" s="159"/>
      <c r="AO825" s="159"/>
      <c r="AP825" s="160"/>
      <c r="AQ825" s="160"/>
      <c r="AR825" s="160"/>
      <c r="AS825" s="159"/>
      <c r="AT825" s="159"/>
      <c r="AU825" s="161"/>
      <c r="AV825" s="157"/>
      <c r="AW825" s="157"/>
      <c r="AX825" s="157"/>
      <c r="AY825" s="157"/>
      <c r="AZ825" s="157"/>
      <c r="BA825" s="157"/>
      <c r="BB825" s="157"/>
      <c r="BC825" s="151"/>
      <c r="BD825" s="157"/>
      <c r="BE825" s="157"/>
      <c r="BF825" s="157"/>
      <c r="BG825" s="157"/>
      <c r="BH825" s="157"/>
      <c r="BI825" s="157"/>
      <c r="BJ825" s="353"/>
      <c r="BK825" s="353"/>
      <c r="BL825" s="353"/>
      <c r="BM825" s="14"/>
      <c r="BN825" s="14"/>
      <c r="BO825" s="14"/>
    </row>
    <row r="826" spans="1:67" ht="20.100000000000001" customHeight="1">
      <c r="A826" s="157"/>
      <c r="B826" s="1"/>
      <c r="C826" s="157"/>
      <c r="D826" s="1"/>
      <c r="E826" s="150"/>
      <c r="F826" s="150"/>
      <c r="G826" s="151"/>
      <c r="H826" s="150"/>
      <c r="I826" s="150"/>
      <c r="J826" s="151"/>
      <c r="K826" s="151"/>
      <c r="L826" s="150"/>
      <c r="M826" s="151"/>
      <c r="N826" s="151"/>
      <c r="O826" s="151"/>
      <c r="P826" s="150"/>
      <c r="Q826" s="150"/>
      <c r="R826" s="158"/>
      <c r="S826" s="158"/>
      <c r="T826" s="158"/>
      <c r="U826" s="158"/>
      <c r="V826" s="1"/>
      <c r="W826" s="1"/>
      <c r="X826" s="157"/>
      <c r="Y826" s="157"/>
      <c r="Z826" s="157"/>
      <c r="AA826" s="157"/>
      <c r="AB826" s="157"/>
      <c r="AC826" s="151"/>
      <c r="AD826" s="151"/>
      <c r="AE826" s="151"/>
      <c r="AF826" s="157"/>
      <c r="AG826" s="157"/>
      <c r="AH826" s="157"/>
      <c r="AI826" s="157"/>
      <c r="AJ826" s="157"/>
      <c r="AK826" s="157"/>
      <c r="AL826" s="157"/>
      <c r="AM826" s="157"/>
      <c r="AN826" s="159"/>
      <c r="AO826" s="159"/>
      <c r="AP826" s="160"/>
      <c r="AQ826" s="160"/>
      <c r="AR826" s="160"/>
      <c r="AS826" s="159"/>
      <c r="AT826" s="159"/>
      <c r="AU826" s="161"/>
      <c r="AV826" s="157"/>
      <c r="AW826" s="157"/>
      <c r="AX826" s="157"/>
      <c r="AY826" s="157"/>
      <c r="AZ826" s="157"/>
      <c r="BA826" s="157"/>
      <c r="BB826" s="157"/>
      <c r="BC826" s="151"/>
      <c r="BD826" s="157"/>
      <c r="BE826" s="157"/>
      <c r="BF826" s="157"/>
      <c r="BG826" s="157"/>
      <c r="BH826" s="157"/>
      <c r="BI826" s="157"/>
      <c r="BJ826" s="353"/>
      <c r="BK826" s="353"/>
      <c r="BL826" s="353"/>
      <c r="BM826" s="14"/>
      <c r="BN826" s="14"/>
      <c r="BO826" s="14"/>
    </row>
    <row r="827" spans="1:67" ht="20.100000000000001" customHeight="1">
      <c r="A827" s="157"/>
      <c r="B827" s="1"/>
      <c r="C827" s="157"/>
      <c r="D827" s="1"/>
      <c r="E827" s="150"/>
      <c r="F827" s="150"/>
      <c r="G827" s="151"/>
      <c r="H827" s="150"/>
      <c r="I827" s="150"/>
      <c r="J827" s="151"/>
      <c r="K827" s="151"/>
      <c r="L827" s="150"/>
      <c r="M827" s="151"/>
      <c r="N827" s="151"/>
      <c r="O827" s="151"/>
      <c r="P827" s="150"/>
      <c r="Q827" s="150"/>
      <c r="R827" s="158"/>
      <c r="S827" s="158"/>
      <c r="T827" s="158"/>
      <c r="U827" s="158"/>
      <c r="V827" s="1"/>
      <c r="W827" s="1"/>
      <c r="X827" s="157"/>
      <c r="Y827" s="157"/>
      <c r="Z827" s="157"/>
      <c r="AA827" s="157"/>
      <c r="AB827" s="157"/>
      <c r="AC827" s="151"/>
      <c r="AD827" s="151"/>
      <c r="AE827" s="151"/>
      <c r="AF827" s="157"/>
      <c r="AG827" s="157"/>
      <c r="AH827" s="157"/>
      <c r="AI827" s="157"/>
      <c r="AJ827" s="157"/>
      <c r="AK827" s="157"/>
      <c r="AL827" s="157"/>
      <c r="AM827" s="157"/>
      <c r="AN827" s="159"/>
      <c r="AO827" s="159"/>
      <c r="AP827" s="160"/>
      <c r="AQ827" s="160"/>
      <c r="AR827" s="160"/>
      <c r="AS827" s="159"/>
      <c r="AT827" s="159"/>
      <c r="AU827" s="161"/>
      <c r="AV827" s="157"/>
      <c r="AW827" s="157"/>
      <c r="AX827" s="157"/>
      <c r="AY827" s="157"/>
      <c r="AZ827" s="157"/>
      <c r="BA827" s="157"/>
      <c r="BB827" s="157"/>
      <c r="BC827" s="151"/>
      <c r="BD827" s="157"/>
      <c r="BE827" s="157"/>
      <c r="BF827" s="157"/>
      <c r="BG827" s="157"/>
      <c r="BH827" s="157"/>
      <c r="BI827" s="157"/>
      <c r="BJ827" s="353"/>
      <c r="BK827" s="353"/>
      <c r="BL827" s="353"/>
      <c r="BM827" s="14"/>
      <c r="BN827" s="14"/>
      <c r="BO827" s="14"/>
    </row>
    <row r="828" spans="1:67" ht="20.100000000000001" customHeight="1">
      <c r="A828" s="157"/>
      <c r="B828" s="1"/>
      <c r="C828" s="157"/>
      <c r="D828" s="1"/>
      <c r="E828" s="150"/>
      <c r="F828" s="150"/>
      <c r="G828" s="151"/>
      <c r="H828" s="150"/>
      <c r="I828" s="150"/>
      <c r="J828" s="151"/>
      <c r="K828" s="151"/>
      <c r="L828" s="150"/>
      <c r="M828" s="151"/>
      <c r="N828" s="151"/>
      <c r="O828" s="151"/>
      <c r="P828" s="150"/>
      <c r="Q828" s="150"/>
      <c r="R828" s="158"/>
      <c r="S828" s="158"/>
      <c r="T828" s="158"/>
      <c r="U828" s="158"/>
      <c r="V828" s="1"/>
      <c r="W828" s="1"/>
      <c r="X828" s="157"/>
      <c r="Y828" s="157"/>
      <c r="Z828" s="157"/>
      <c r="AA828" s="157"/>
      <c r="AB828" s="157"/>
      <c r="AC828" s="151"/>
      <c r="AD828" s="151"/>
      <c r="AE828" s="151"/>
      <c r="AF828" s="157"/>
      <c r="AG828" s="157"/>
      <c r="AH828" s="157"/>
      <c r="AI828" s="157"/>
      <c r="AJ828" s="157"/>
      <c r="AK828" s="157"/>
      <c r="AL828" s="157"/>
      <c r="AM828" s="157"/>
      <c r="AN828" s="159"/>
      <c r="AO828" s="159"/>
      <c r="AP828" s="160"/>
      <c r="AQ828" s="160"/>
      <c r="AR828" s="160"/>
      <c r="AS828" s="159"/>
      <c r="AT828" s="159"/>
      <c r="AU828" s="161"/>
      <c r="AV828" s="157"/>
      <c r="AW828" s="157"/>
      <c r="AX828" s="157"/>
      <c r="AY828" s="157"/>
      <c r="AZ828" s="157"/>
      <c r="BA828" s="157"/>
      <c r="BB828" s="157"/>
      <c r="BC828" s="151"/>
      <c r="BD828" s="157"/>
      <c r="BE828" s="157"/>
      <c r="BF828" s="157"/>
      <c r="BG828" s="157"/>
      <c r="BH828" s="157"/>
      <c r="BI828" s="157"/>
      <c r="BJ828" s="353"/>
      <c r="BK828" s="353"/>
      <c r="BL828" s="353"/>
      <c r="BM828" s="14"/>
      <c r="BN828" s="14"/>
      <c r="BO828" s="14"/>
    </row>
    <row r="829" spans="1:67" ht="20.100000000000001" customHeight="1">
      <c r="A829" s="157"/>
      <c r="B829" s="1"/>
      <c r="C829" s="157"/>
      <c r="D829" s="1"/>
      <c r="E829" s="150"/>
      <c r="F829" s="150"/>
      <c r="G829" s="151"/>
      <c r="H829" s="150"/>
      <c r="I829" s="150"/>
      <c r="J829" s="151"/>
      <c r="K829" s="151"/>
      <c r="L829" s="150"/>
      <c r="M829" s="151"/>
      <c r="N829" s="151"/>
      <c r="O829" s="151"/>
      <c r="P829" s="150"/>
      <c r="Q829" s="150"/>
      <c r="R829" s="158"/>
      <c r="S829" s="158"/>
      <c r="T829" s="158"/>
      <c r="U829" s="158"/>
      <c r="V829" s="1"/>
      <c r="W829" s="1"/>
      <c r="X829" s="157"/>
      <c r="Y829" s="157"/>
      <c r="Z829" s="157"/>
      <c r="AA829" s="157"/>
      <c r="AB829" s="157"/>
      <c r="AC829" s="151"/>
      <c r="AD829" s="151"/>
      <c r="AE829" s="151"/>
      <c r="AF829" s="157"/>
      <c r="AG829" s="157"/>
      <c r="AH829" s="157"/>
      <c r="AI829" s="157"/>
      <c r="AJ829" s="157"/>
      <c r="AK829" s="157"/>
      <c r="AL829" s="157"/>
      <c r="AM829" s="157"/>
      <c r="AN829" s="159"/>
      <c r="AO829" s="159"/>
      <c r="AP829" s="160"/>
      <c r="AQ829" s="160"/>
      <c r="AR829" s="160"/>
      <c r="AS829" s="159"/>
      <c r="AT829" s="159"/>
      <c r="AU829" s="161"/>
      <c r="AV829" s="157"/>
      <c r="AW829" s="157"/>
      <c r="AX829" s="157"/>
      <c r="AY829" s="157"/>
      <c r="AZ829" s="157"/>
      <c r="BA829" s="157"/>
      <c r="BB829" s="157"/>
      <c r="BC829" s="151"/>
      <c r="BD829" s="157"/>
      <c r="BE829" s="157"/>
      <c r="BF829" s="157"/>
      <c r="BG829" s="157"/>
      <c r="BH829" s="157"/>
      <c r="BI829" s="157"/>
      <c r="BJ829" s="353"/>
      <c r="BK829" s="353"/>
      <c r="BL829" s="353"/>
      <c r="BM829" s="14"/>
      <c r="BN829" s="14"/>
      <c r="BO829" s="14"/>
    </row>
    <row r="830" spans="1:67" ht="20.100000000000001" customHeight="1">
      <c r="A830" s="157"/>
      <c r="B830" s="1"/>
      <c r="C830" s="157"/>
      <c r="D830" s="1"/>
      <c r="E830" s="150"/>
      <c r="F830" s="150"/>
      <c r="G830" s="151"/>
      <c r="H830" s="150"/>
      <c r="I830" s="150"/>
      <c r="J830" s="151"/>
      <c r="K830" s="151"/>
      <c r="L830" s="150"/>
      <c r="M830" s="151"/>
      <c r="N830" s="151"/>
      <c r="O830" s="151"/>
      <c r="P830" s="150"/>
      <c r="Q830" s="150"/>
      <c r="R830" s="158"/>
      <c r="S830" s="158"/>
      <c r="T830" s="158"/>
      <c r="U830" s="158"/>
      <c r="V830" s="1"/>
      <c r="W830" s="1"/>
      <c r="X830" s="157"/>
      <c r="Y830" s="157"/>
      <c r="Z830" s="157"/>
      <c r="AA830" s="157"/>
      <c r="AB830" s="157"/>
      <c r="AC830" s="151"/>
      <c r="AD830" s="151"/>
      <c r="AE830" s="151"/>
      <c r="AF830" s="157"/>
      <c r="AG830" s="157"/>
      <c r="AH830" s="157"/>
      <c r="AI830" s="157"/>
      <c r="AJ830" s="157"/>
      <c r="AK830" s="157"/>
      <c r="AL830" s="157"/>
      <c r="AM830" s="157"/>
      <c r="AN830" s="159"/>
      <c r="AO830" s="159"/>
      <c r="AP830" s="160"/>
      <c r="AQ830" s="160"/>
      <c r="AR830" s="160"/>
      <c r="AS830" s="159"/>
      <c r="AT830" s="159"/>
      <c r="AU830" s="161"/>
      <c r="AV830" s="157"/>
      <c r="AW830" s="157"/>
      <c r="AX830" s="157"/>
      <c r="AY830" s="157"/>
      <c r="AZ830" s="157"/>
      <c r="BA830" s="157"/>
      <c r="BB830" s="157"/>
      <c r="BC830" s="151"/>
      <c r="BD830" s="157"/>
      <c r="BE830" s="157"/>
      <c r="BF830" s="157"/>
      <c r="BG830" s="157"/>
      <c r="BH830" s="157"/>
      <c r="BI830" s="157"/>
      <c r="BJ830" s="353"/>
      <c r="BK830" s="353"/>
      <c r="BL830" s="353"/>
      <c r="BM830" s="14"/>
      <c r="BN830" s="14"/>
      <c r="BO830" s="14"/>
    </row>
    <row r="831" spans="1:67" ht="20.100000000000001" customHeight="1">
      <c r="A831" s="157"/>
      <c r="B831" s="1"/>
      <c r="C831" s="157"/>
      <c r="D831" s="1"/>
      <c r="E831" s="150"/>
      <c r="F831" s="150"/>
      <c r="G831" s="151"/>
      <c r="H831" s="150"/>
      <c r="I831" s="150"/>
      <c r="J831" s="151"/>
      <c r="K831" s="151"/>
      <c r="L831" s="150"/>
      <c r="M831" s="151"/>
      <c r="N831" s="151"/>
      <c r="O831" s="151"/>
      <c r="P831" s="150"/>
      <c r="Q831" s="150"/>
      <c r="R831" s="158"/>
      <c r="S831" s="158"/>
      <c r="T831" s="158"/>
      <c r="U831" s="158"/>
      <c r="V831" s="1"/>
      <c r="W831" s="1"/>
      <c r="X831" s="157"/>
      <c r="Y831" s="157"/>
      <c r="Z831" s="157"/>
      <c r="AA831" s="157"/>
      <c r="AB831" s="157"/>
      <c r="AC831" s="151"/>
      <c r="AD831" s="151"/>
      <c r="AE831" s="151"/>
      <c r="AF831" s="157"/>
      <c r="AG831" s="157"/>
      <c r="AH831" s="157"/>
      <c r="AI831" s="157"/>
      <c r="AJ831" s="157"/>
      <c r="AK831" s="157"/>
      <c r="AL831" s="157"/>
      <c r="AM831" s="157"/>
      <c r="AN831" s="159"/>
      <c r="AO831" s="159"/>
      <c r="AP831" s="160"/>
      <c r="AQ831" s="160"/>
      <c r="AR831" s="160"/>
      <c r="AS831" s="159"/>
      <c r="AT831" s="159"/>
      <c r="AU831" s="161"/>
      <c r="AV831" s="157"/>
      <c r="AW831" s="157"/>
      <c r="AX831" s="157"/>
      <c r="AY831" s="157"/>
      <c r="AZ831" s="157"/>
      <c r="BA831" s="157"/>
      <c r="BB831" s="157"/>
      <c r="BC831" s="151"/>
      <c r="BD831" s="157"/>
      <c r="BE831" s="157"/>
      <c r="BF831" s="157"/>
      <c r="BG831" s="157"/>
      <c r="BH831" s="157"/>
      <c r="BI831" s="157"/>
      <c r="BJ831" s="353"/>
      <c r="BK831" s="353"/>
      <c r="BL831" s="353"/>
      <c r="BM831" s="14"/>
      <c r="BN831" s="14"/>
      <c r="BO831" s="14"/>
    </row>
    <row r="832" spans="1:67" ht="20.100000000000001" customHeight="1">
      <c r="A832" s="157"/>
      <c r="B832" s="1"/>
      <c r="C832" s="157"/>
      <c r="D832" s="1"/>
      <c r="E832" s="150"/>
      <c r="F832" s="150"/>
      <c r="G832" s="151"/>
      <c r="H832" s="150"/>
      <c r="I832" s="150"/>
      <c r="J832" s="151"/>
      <c r="K832" s="151"/>
      <c r="L832" s="150"/>
      <c r="M832" s="151"/>
      <c r="N832" s="151"/>
      <c r="O832" s="151"/>
      <c r="P832" s="150"/>
      <c r="Q832" s="150"/>
      <c r="R832" s="158"/>
      <c r="S832" s="158"/>
      <c r="T832" s="158"/>
      <c r="U832" s="158"/>
      <c r="V832" s="1"/>
      <c r="W832" s="1"/>
      <c r="X832" s="157"/>
      <c r="Y832" s="157"/>
      <c r="Z832" s="157"/>
      <c r="AA832" s="157"/>
      <c r="AB832" s="157"/>
      <c r="AC832" s="151"/>
      <c r="AD832" s="151"/>
      <c r="AE832" s="151"/>
      <c r="AF832" s="157"/>
      <c r="AG832" s="157"/>
      <c r="AH832" s="157"/>
      <c r="AI832" s="157"/>
      <c r="AJ832" s="157"/>
      <c r="AK832" s="157"/>
      <c r="AL832" s="157"/>
      <c r="AM832" s="157"/>
      <c r="AN832" s="159"/>
      <c r="AO832" s="159"/>
      <c r="AP832" s="160"/>
      <c r="AQ832" s="160"/>
      <c r="AR832" s="160"/>
      <c r="AS832" s="159"/>
      <c r="AT832" s="159"/>
      <c r="AU832" s="161"/>
      <c r="AV832" s="157"/>
      <c r="AW832" s="157"/>
      <c r="AX832" s="157"/>
      <c r="AY832" s="157"/>
      <c r="AZ832" s="157"/>
      <c r="BA832" s="157"/>
      <c r="BB832" s="157"/>
      <c r="BC832" s="151"/>
      <c r="BD832" s="157"/>
      <c r="BE832" s="157"/>
      <c r="BF832" s="157"/>
      <c r="BG832" s="157"/>
      <c r="BH832" s="157"/>
      <c r="BI832" s="157"/>
      <c r="BJ832" s="353"/>
      <c r="BK832" s="353"/>
      <c r="BL832" s="353"/>
      <c r="BM832" s="14"/>
      <c r="BN832" s="14"/>
      <c r="BO832" s="14"/>
    </row>
    <row r="833" spans="1:67" ht="20.100000000000001" customHeight="1">
      <c r="A833" s="157"/>
      <c r="B833" s="1"/>
      <c r="C833" s="157"/>
      <c r="D833" s="1"/>
      <c r="E833" s="150"/>
      <c r="F833" s="150"/>
      <c r="G833" s="151"/>
      <c r="H833" s="150"/>
      <c r="I833" s="150"/>
      <c r="J833" s="151"/>
      <c r="K833" s="151"/>
      <c r="L833" s="150"/>
      <c r="M833" s="151"/>
      <c r="N833" s="151"/>
      <c r="O833" s="151"/>
      <c r="P833" s="150"/>
      <c r="Q833" s="150"/>
      <c r="R833" s="158"/>
      <c r="S833" s="158"/>
      <c r="T833" s="158"/>
      <c r="U833" s="158"/>
      <c r="V833" s="1"/>
      <c r="W833" s="1"/>
      <c r="X833" s="157"/>
      <c r="Y833" s="157"/>
      <c r="Z833" s="157"/>
      <c r="AA833" s="157"/>
      <c r="AB833" s="157"/>
      <c r="AC833" s="151"/>
      <c r="AD833" s="151"/>
      <c r="AE833" s="151"/>
      <c r="AF833" s="157"/>
      <c r="AG833" s="157"/>
      <c r="AH833" s="157"/>
      <c r="AI833" s="157"/>
      <c r="AJ833" s="157"/>
      <c r="AK833" s="157"/>
      <c r="AL833" s="157"/>
      <c r="AM833" s="157"/>
      <c r="AN833" s="159"/>
      <c r="AO833" s="159"/>
      <c r="AP833" s="160"/>
      <c r="AQ833" s="160"/>
      <c r="AR833" s="160"/>
      <c r="AS833" s="159"/>
      <c r="AT833" s="159"/>
      <c r="AU833" s="161"/>
      <c r="AV833" s="157"/>
      <c r="AW833" s="157"/>
      <c r="AX833" s="157"/>
      <c r="AY833" s="157"/>
      <c r="AZ833" s="157"/>
      <c r="BA833" s="157"/>
      <c r="BB833" s="157"/>
      <c r="BC833" s="151"/>
      <c r="BD833" s="157"/>
      <c r="BE833" s="157"/>
      <c r="BF833" s="157"/>
      <c r="BG833" s="157"/>
      <c r="BH833" s="157"/>
      <c r="BI833" s="157"/>
      <c r="BJ833" s="353"/>
      <c r="BK833" s="353"/>
      <c r="BL833" s="353"/>
      <c r="BM833" s="14"/>
      <c r="BN833" s="14"/>
      <c r="BO833" s="14"/>
    </row>
    <row r="834" spans="1:67" ht="20.100000000000001" customHeight="1">
      <c r="A834" s="157"/>
      <c r="B834" s="1"/>
      <c r="C834" s="157"/>
      <c r="D834" s="1"/>
      <c r="E834" s="150"/>
      <c r="F834" s="150"/>
      <c r="G834" s="151"/>
      <c r="H834" s="150"/>
      <c r="I834" s="150"/>
      <c r="J834" s="151"/>
      <c r="K834" s="151"/>
      <c r="L834" s="150"/>
      <c r="M834" s="151"/>
      <c r="N834" s="151"/>
      <c r="O834" s="151"/>
      <c r="P834" s="150"/>
      <c r="Q834" s="150"/>
      <c r="R834" s="158"/>
      <c r="S834" s="158"/>
      <c r="T834" s="158"/>
      <c r="U834" s="158"/>
      <c r="V834" s="1"/>
      <c r="W834" s="1"/>
      <c r="X834" s="157"/>
      <c r="Y834" s="157"/>
      <c r="Z834" s="157"/>
      <c r="AA834" s="157"/>
      <c r="AB834" s="157"/>
      <c r="AC834" s="151"/>
      <c r="AD834" s="151"/>
      <c r="AE834" s="151"/>
      <c r="AF834" s="157"/>
      <c r="AG834" s="157"/>
      <c r="AH834" s="157"/>
      <c r="AI834" s="157"/>
      <c r="AJ834" s="157"/>
      <c r="AK834" s="157"/>
      <c r="AL834" s="157"/>
      <c r="AM834" s="157"/>
      <c r="AN834" s="159"/>
      <c r="AO834" s="159"/>
      <c r="AP834" s="160"/>
      <c r="AQ834" s="160"/>
      <c r="AR834" s="160"/>
      <c r="AS834" s="159"/>
      <c r="AT834" s="159"/>
      <c r="AU834" s="161"/>
      <c r="AV834" s="157"/>
      <c r="AW834" s="157"/>
      <c r="AX834" s="157"/>
      <c r="AY834" s="157"/>
      <c r="AZ834" s="157"/>
      <c r="BA834" s="157"/>
      <c r="BB834" s="157"/>
      <c r="BC834" s="151"/>
      <c r="BD834" s="157"/>
      <c r="BE834" s="157"/>
      <c r="BF834" s="157"/>
      <c r="BG834" s="157"/>
      <c r="BH834" s="157"/>
      <c r="BI834" s="157"/>
      <c r="BJ834" s="353"/>
      <c r="BK834" s="353"/>
      <c r="BL834" s="353"/>
      <c r="BM834" s="14"/>
      <c r="BN834" s="14"/>
      <c r="BO834" s="14"/>
    </row>
    <row r="835" spans="1:67" ht="20.100000000000001" customHeight="1">
      <c r="A835" s="157"/>
      <c r="B835" s="1"/>
      <c r="C835" s="157"/>
      <c r="D835" s="1"/>
      <c r="E835" s="150"/>
      <c r="F835" s="150"/>
      <c r="G835" s="151"/>
      <c r="H835" s="150"/>
      <c r="I835" s="150"/>
      <c r="J835" s="151"/>
      <c r="K835" s="151"/>
      <c r="L835" s="150"/>
      <c r="M835" s="151"/>
      <c r="N835" s="151"/>
      <c r="O835" s="151"/>
      <c r="P835" s="150"/>
      <c r="Q835" s="150"/>
      <c r="R835" s="158"/>
      <c r="S835" s="158"/>
      <c r="T835" s="158"/>
      <c r="U835" s="158"/>
      <c r="V835" s="1"/>
      <c r="W835" s="1"/>
      <c r="X835" s="157"/>
      <c r="Y835" s="157"/>
      <c r="Z835" s="157"/>
      <c r="AA835" s="157"/>
      <c r="AB835" s="157"/>
      <c r="AC835" s="151"/>
      <c r="AD835" s="151"/>
      <c r="AE835" s="151"/>
      <c r="AF835" s="157"/>
      <c r="AG835" s="157"/>
      <c r="AH835" s="157"/>
      <c r="AI835" s="157"/>
      <c r="AJ835" s="157"/>
      <c r="AK835" s="157"/>
      <c r="AL835" s="157"/>
      <c r="AM835" s="157"/>
      <c r="AN835" s="159"/>
      <c r="AO835" s="159"/>
      <c r="AP835" s="160"/>
      <c r="AQ835" s="160"/>
      <c r="AR835" s="160"/>
      <c r="AS835" s="159"/>
      <c r="AT835" s="159"/>
      <c r="AU835" s="161"/>
      <c r="AV835" s="157"/>
      <c r="AW835" s="157"/>
      <c r="AX835" s="157"/>
      <c r="AY835" s="157"/>
      <c r="AZ835" s="157"/>
      <c r="BA835" s="157"/>
      <c r="BB835" s="157"/>
      <c r="BC835" s="151"/>
      <c r="BD835" s="157"/>
      <c r="BE835" s="157"/>
      <c r="BF835" s="157"/>
      <c r="BG835" s="157"/>
      <c r="BH835" s="157"/>
      <c r="BI835" s="157"/>
      <c r="BJ835" s="353"/>
      <c r="BK835" s="353"/>
      <c r="BL835" s="353"/>
      <c r="BM835" s="14"/>
      <c r="BN835" s="14"/>
      <c r="BO835" s="14"/>
    </row>
    <row r="836" spans="1:67" ht="20.100000000000001" customHeight="1">
      <c r="A836" s="157"/>
      <c r="B836" s="1"/>
      <c r="C836" s="157"/>
      <c r="D836" s="1"/>
      <c r="E836" s="150"/>
      <c r="F836" s="150"/>
      <c r="G836" s="151"/>
      <c r="H836" s="150"/>
      <c r="I836" s="150"/>
      <c r="J836" s="151"/>
      <c r="K836" s="151"/>
      <c r="L836" s="150"/>
      <c r="M836" s="151"/>
      <c r="N836" s="151"/>
      <c r="O836" s="151"/>
      <c r="P836" s="150"/>
      <c r="Q836" s="150"/>
      <c r="R836" s="158"/>
      <c r="S836" s="158"/>
      <c r="T836" s="158"/>
      <c r="U836" s="158"/>
      <c r="V836" s="1"/>
      <c r="W836" s="1"/>
      <c r="X836" s="157"/>
      <c r="Y836" s="157"/>
      <c r="Z836" s="157"/>
      <c r="AA836" s="157"/>
      <c r="AB836" s="157"/>
      <c r="AC836" s="151"/>
      <c r="AD836" s="151"/>
      <c r="AE836" s="151"/>
      <c r="AF836" s="157"/>
      <c r="AG836" s="157"/>
      <c r="AH836" s="157"/>
      <c r="AI836" s="157"/>
      <c r="AJ836" s="157"/>
      <c r="AK836" s="157"/>
      <c r="AL836" s="157"/>
      <c r="AM836" s="157"/>
      <c r="AN836" s="159"/>
      <c r="AO836" s="159"/>
      <c r="AP836" s="160"/>
      <c r="AQ836" s="160"/>
      <c r="AR836" s="160"/>
      <c r="AS836" s="159"/>
      <c r="AT836" s="159"/>
      <c r="AU836" s="161"/>
      <c r="AV836" s="157"/>
      <c r="AW836" s="157"/>
      <c r="AX836" s="157"/>
      <c r="AY836" s="157"/>
      <c r="AZ836" s="157"/>
      <c r="BA836" s="157"/>
      <c r="BB836" s="157"/>
      <c r="BC836" s="151"/>
      <c r="BD836" s="157"/>
      <c r="BE836" s="157"/>
      <c r="BF836" s="157"/>
      <c r="BG836" s="157"/>
      <c r="BH836" s="157"/>
      <c r="BI836" s="157"/>
      <c r="BJ836" s="353"/>
      <c r="BK836" s="353"/>
      <c r="BL836" s="353"/>
      <c r="BM836" s="14"/>
      <c r="BN836" s="14"/>
      <c r="BO836" s="14"/>
    </row>
    <row r="837" spans="1:67" ht="20.100000000000001" customHeight="1">
      <c r="A837" s="157"/>
      <c r="B837" s="1"/>
      <c r="C837" s="157"/>
      <c r="D837" s="1"/>
      <c r="E837" s="150"/>
      <c r="F837" s="150"/>
      <c r="G837" s="151"/>
      <c r="H837" s="150"/>
      <c r="I837" s="150"/>
      <c r="J837" s="151"/>
      <c r="K837" s="151"/>
      <c r="L837" s="150"/>
      <c r="M837" s="151"/>
      <c r="N837" s="151"/>
      <c r="O837" s="151"/>
      <c r="P837" s="150"/>
      <c r="Q837" s="150"/>
      <c r="R837" s="158"/>
      <c r="S837" s="158"/>
      <c r="T837" s="158"/>
      <c r="U837" s="158"/>
      <c r="V837" s="1"/>
      <c r="W837" s="1"/>
      <c r="X837" s="157"/>
      <c r="Y837" s="157"/>
      <c r="Z837" s="157"/>
      <c r="AA837" s="157"/>
      <c r="AB837" s="157"/>
      <c r="AC837" s="151"/>
      <c r="AD837" s="151"/>
      <c r="AE837" s="151"/>
      <c r="AF837" s="157"/>
      <c r="AG837" s="157"/>
      <c r="AH837" s="157"/>
      <c r="AI837" s="157"/>
      <c r="AJ837" s="157"/>
      <c r="AK837" s="157"/>
      <c r="AL837" s="157"/>
      <c r="AM837" s="157"/>
      <c r="AN837" s="159"/>
      <c r="AO837" s="159"/>
      <c r="AP837" s="160"/>
      <c r="AQ837" s="160"/>
      <c r="AR837" s="160"/>
      <c r="AS837" s="159"/>
      <c r="AT837" s="159"/>
      <c r="AU837" s="161"/>
      <c r="AV837" s="157"/>
      <c r="AW837" s="157"/>
      <c r="AX837" s="157"/>
      <c r="AY837" s="157"/>
      <c r="AZ837" s="157"/>
      <c r="BA837" s="157"/>
      <c r="BB837" s="157"/>
      <c r="BC837" s="151"/>
      <c r="BD837" s="157"/>
      <c r="BE837" s="157"/>
      <c r="BF837" s="157"/>
      <c r="BG837" s="157"/>
      <c r="BH837" s="157"/>
      <c r="BI837" s="157"/>
      <c r="BJ837" s="353"/>
      <c r="BK837" s="353"/>
      <c r="BL837" s="353"/>
      <c r="BM837" s="14"/>
      <c r="BN837" s="14"/>
      <c r="BO837" s="14"/>
    </row>
    <row r="838" spans="1:67" ht="20.100000000000001" customHeight="1">
      <c r="A838" s="157"/>
      <c r="B838" s="1"/>
      <c r="C838" s="157"/>
      <c r="D838" s="1"/>
      <c r="E838" s="150"/>
      <c r="F838" s="150"/>
      <c r="G838" s="151"/>
      <c r="H838" s="150"/>
      <c r="I838" s="150"/>
      <c r="J838" s="151"/>
      <c r="K838" s="151"/>
      <c r="L838" s="150"/>
      <c r="M838" s="151"/>
      <c r="N838" s="151"/>
      <c r="O838" s="151"/>
      <c r="P838" s="150"/>
      <c r="Q838" s="150"/>
      <c r="R838" s="158"/>
      <c r="S838" s="158"/>
      <c r="T838" s="158"/>
      <c r="U838" s="158"/>
      <c r="V838" s="1"/>
      <c r="W838" s="1"/>
      <c r="X838" s="157"/>
      <c r="Y838" s="157"/>
      <c r="Z838" s="157"/>
      <c r="AA838" s="157"/>
      <c r="AB838" s="157"/>
      <c r="AC838" s="151"/>
      <c r="AD838" s="151"/>
      <c r="AE838" s="151"/>
      <c r="AF838" s="157"/>
      <c r="AG838" s="157"/>
      <c r="AH838" s="157"/>
      <c r="AI838" s="157"/>
      <c r="AJ838" s="157"/>
      <c r="AK838" s="157"/>
      <c r="AL838" s="157"/>
      <c r="AM838" s="157"/>
      <c r="AN838" s="159"/>
      <c r="AO838" s="159"/>
      <c r="AP838" s="160"/>
      <c r="AQ838" s="160"/>
      <c r="AR838" s="160"/>
      <c r="AS838" s="159"/>
      <c r="AT838" s="159"/>
      <c r="AU838" s="161"/>
      <c r="AV838" s="157"/>
      <c r="AW838" s="157"/>
      <c r="AX838" s="157"/>
      <c r="AY838" s="157"/>
      <c r="AZ838" s="157"/>
      <c r="BA838" s="157"/>
      <c r="BB838" s="157"/>
      <c r="BC838" s="151"/>
      <c r="BD838" s="157"/>
      <c r="BE838" s="157"/>
      <c r="BF838" s="157"/>
      <c r="BG838" s="157"/>
      <c r="BH838" s="157"/>
      <c r="BI838" s="157"/>
      <c r="BJ838" s="353"/>
      <c r="BK838" s="353"/>
      <c r="BL838" s="353"/>
      <c r="BM838" s="14"/>
      <c r="BN838" s="14"/>
      <c r="BO838" s="14"/>
    </row>
    <row r="839" spans="1:67" ht="20.100000000000001" customHeight="1">
      <c r="A839" s="157"/>
      <c r="B839" s="1"/>
      <c r="C839" s="157"/>
      <c r="D839" s="1"/>
      <c r="E839" s="150"/>
      <c r="F839" s="150"/>
      <c r="G839" s="151"/>
      <c r="H839" s="150"/>
      <c r="I839" s="150"/>
      <c r="J839" s="151"/>
      <c r="K839" s="151"/>
      <c r="L839" s="150"/>
      <c r="M839" s="151"/>
      <c r="N839" s="151"/>
      <c r="O839" s="151"/>
      <c r="P839" s="150"/>
      <c r="Q839" s="150"/>
      <c r="R839" s="158"/>
      <c r="S839" s="158"/>
      <c r="T839" s="158"/>
      <c r="U839" s="158"/>
      <c r="V839" s="1"/>
      <c r="W839" s="1"/>
      <c r="X839" s="157"/>
      <c r="Y839" s="157"/>
      <c r="Z839" s="157"/>
      <c r="AA839" s="157"/>
      <c r="AB839" s="157"/>
      <c r="AC839" s="151"/>
      <c r="AD839" s="151"/>
      <c r="AE839" s="151"/>
      <c r="AF839" s="157"/>
      <c r="AG839" s="157"/>
      <c r="AH839" s="157"/>
      <c r="AI839" s="157"/>
      <c r="AJ839" s="157"/>
      <c r="AK839" s="157"/>
      <c r="AL839" s="157"/>
      <c r="AM839" s="157"/>
      <c r="AN839" s="159"/>
      <c r="AO839" s="159"/>
      <c r="AP839" s="160"/>
      <c r="AQ839" s="160"/>
      <c r="AR839" s="160"/>
      <c r="AS839" s="159"/>
      <c r="AT839" s="159"/>
      <c r="AU839" s="161"/>
      <c r="AV839" s="157"/>
      <c r="AW839" s="157"/>
      <c r="AX839" s="157"/>
      <c r="AY839" s="157"/>
      <c r="AZ839" s="157"/>
      <c r="BA839" s="157"/>
      <c r="BB839" s="157"/>
      <c r="BC839" s="151"/>
      <c r="BD839" s="157"/>
      <c r="BE839" s="157"/>
      <c r="BF839" s="157"/>
      <c r="BG839" s="157"/>
      <c r="BH839" s="157"/>
      <c r="BI839" s="157"/>
      <c r="BJ839" s="353"/>
      <c r="BK839" s="353"/>
      <c r="BL839" s="353"/>
      <c r="BM839" s="14"/>
      <c r="BN839" s="14"/>
      <c r="BO839" s="14"/>
    </row>
    <row r="840" spans="1:67" ht="20.100000000000001" customHeight="1">
      <c r="A840" s="157"/>
      <c r="B840" s="1"/>
      <c r="C840" s="157"/>
      <c r="D840" s="1"/>
      <c r="E840" s="150"/>
      <c r="F840" s="150"/>
      <c r="G840" s="151"/>
      <c r="H840" s="150"/>
      <c r="I840" s="150"/>
      <c r="J840" s="151"/>
      <c r="K840" s="151"/>
      <c r="L840" s="150"/>
      <c r="M840" s="151"/>
      <c r="N840" s="151"/>
      <c r="O840" s="151"/>
      <c r="P840" s="150"/>
      <c r="Q840" s="150"/>
      <c r="R840" s="158"/>
      <c r="S840" s="158"/>
      <c r="T840" s="158"/>
      <c r="U840" s="158"/>
      <c r="V840" s="1"/>
      <c r="W840" s="1"/>
      <c r="X840" s="157"/>
      <c r="Y840" s="157"/>
      <c r="Z840" s="157"/>
      <c r="AA840" s="157"/>
      <c r="AB840" s="157"/>
      <c r="AC840" s="151"/>
      <c r="AD840" s="151"/>
      <c r="AE840" s="151"/>
      <c r="AF840" s="157"/>
      <c r="AG840" s="157"/>
      <c r="AH840" s="157"/>
      <c r="AI840" s="157"/>
      <c r="AJ840" s="157"/>
      <c r="AK840" s="157"/>
      <c r="AL840" s="157"/>
      <c r="AM840" s="157"/>
      <c r="AN840" s="159"/>
      <c r="AO840" s="159"/>
      <c r="AP840" s="160"/>
      <c r="AQ840" s="160"/>
      <c r="AR840" s="160"/>
      <c r="AS840" s="159"/>
      <c r="AT840" s="159"/>
      <c r="AU840" s="161"/>
      <c r="AV840" s="157"/>
      <c r="AW840" s="157"/>
      <c r="AX840" s="157"/>
      <c r="AY840" s="157"/>
      <c r="AZ840" s="157"/>
      <c r="BA840" s="157"/>
      <c r="BB840" s="157"/>
      <c r="BC840" s="151"/>
      <c r="BD840" s="157"/>
      <c r="BE840" s="157"/>
      <c r="BF840" s="157"/>
      <c r="BG840" s="157"/>
      <c r="BH840" s="157"/>
      <c r="BI840" s="157"/>
      <c r="BJ840" s="353"/>
      <c r="BK840" s="353"/>
      <c r="BL840" s="353"/>
      <c r="BM840" s="14"/>
      <c r="BN840" s="14"/>
      <c r="BO840" s="14"/>
    </row>
    <row r="841" spans="1:67" ht="20.100000000000001" customHeight="1">
      <c r="A841" s="157"/>
      <c r="B841" s="1"/>
      <c r="C841" s="157"/>
      <c r="D841" s="1"/>
      <c r="E841" s="150"/>
      <c r="F841" s="150"/>
      <c r="G841" s="151"/>
      <c r="H841" s="150"/>
      <c r="I841" s="150"/>
      <c r="J841" s="151"/>
      <c r="K841" s="151"/>
      <c r="L841" s="150"/>
      <c r="M841" s="151"/>
      <c r="N841" s="151"/>
      <c r="O841" s="151"/>
      <c r="P841" s="150"/>
      <c r="Q841" s="150"/>
      <c r="R841" s="158"/>
      <c r="S841" s="158"/>
      <c r="T841" s="158"/>
      <c r="U841" s="158"/>
      <c r="V841" s="1"/>
      <c r="W841" s="1"/>
      <c r="X841" s="157"/>
      <c r="Y841" s="157"/>
      <c r="Z841" s="157"/>
      <c r="AA841" s="157"/>
      <c r="AB841" s="157"/>
      <c r="AC841" s="151"/>
      <c r="AD841" s="151"/>
      <c r="AE841" s="151"/>
      <c r="AF841" s="157"/>
      <c r="AG841" s="157"/>
      <c r="AH841" s="157"/>
      <c r="AI841" s="157"/>
      <c r="AJ841" s="157"/>
      <c r="AK841" s="157"/>
      <c r="AL841" s="157"/>
      <c r="AM841" s="157"/>
      <c r="AN841" s="159"/>
      <c r="AO841" s="159"/>
      <c r="AP841" s="160"/>
      <c r="AQ841" s="160"/>
      <c r="AR841" s="160"/>
      <c r="AS841" s="159"/>
      <c r="AT841" s="159"/>
      <c r="AU841" s="161"/>
      <c r="AV841" s="157"/>
      <c r="AW841" s="157"/>
      <c r="AX841" s="157"/>
      <c r="AY841" s="157"/>
      <c r="AZ841" s="157"/>
      <c r="BA841" s="157"/>
      <c r="BB841" s="157"/>
      <c r="BC841" s="151"/>
      <c r="BD841" s="157"/>
      <c r="BE841" s="157"/>
      <c r="BF841" s="157"/>
      <c r="BG841" s="157"/>
      <c r="BH841" s="157"/>
      <c r="BI841" s="157"/>
      <c r="BJ841" s="353"/>
      <c r="BK841" s="353"/>
      <c r="BL841" s="353"/>
      <c r="BM841" s="14"/>
      <c r="BN841" s="14"/>
      <c r="BO841" s="14"/>
    </row>
    <row r="842" spans="1:67" ht="20.100000000000001" customHeight="1">
      <c r="A842" s="157"/>
      <c r="B842" s="1"/>
      <c r="C842" s="157"/>
      <c r="D842" s="1"/>
      <c r="E842" s="150"/>
      <c r="F842" s="150"/>
      <c r="G842" s="151"/>
      <c r="H842" s="150"/>
      <c r="I842" s="150"/>
      <c r="J842" s="151"/>
      <c r="K842" s="151"/>
      <c r="L842" s="150"/>
      <c r="M842" s="151"/>
      <c r="N842" s="151"/>
      <c r="O842" s="151"/>
      <c r="P842" s="150"/>
      <c r="Q842" s="150"/>
      <c r="R842" s="158"/>
      <c r="S842" s="158"/>
      <c r="T842" s="158"/>
      <c r="U842" s="158"/>
      <c r="V842" s="1"/>
      <c r="W842" s="1"/>
      <c r="X842" s="157"/>
      <c r="Y842" s="157"/>
      <c r="Z842" s="157"/>
      <c r="AA842" s="157"/>
      <c r="AB842" s="157"/>
      <c r="AC842" s="151"/>
      <c r="AD842" s="151"/>
      <c r="AE842" s="151"/>
      <c r="AF842" s="157"/>
      <c r="AG842" s="157"/>
      <c r="AH842" s="157"/>
      <c r="AI842" s="157"/>
      <c r="AJ842" s="157"/>
      <c r="AK842" s="157"/>
      <c r="AL842" s="157"/>
      <c r="AM842" s="157"/>
      <c r="AN842" s="159"/>
      <c r="AO842" s="159"/>
      <c r="AP842" s="160"/>
      <c r="AQ842" s="160"/>
      <c r="AR842" s="160"/>
      <c r="AS842" s="159"/>
      <c r="AT842" s="159"/>
      <c r="AU842" s="161"/>
      <c r="AV842" s="157"/>
      <c r="AW842" s="157"/>
      <c r="AX842" s="157"/>
      <c r="AY842" s="157"/>
      <c r="AZ842" s="157"/>
      <c r="BA842" s="157"/>
      <c r="BB842" s="157"/>
      <c r="BC842" s="151"/>
      <c r="BD842" s="157"/>
      <c r="BE842" s="157"/>
      <c r="BF842" s="157"/>
      <c r="BG842" s="157"/>
      <c r="BH842" s="157"/>
      <c r="BI842" s="157"/>
      <c r="BJ842" s="353"/>
      <c r="BK842" s="353"/>
      <c r="BL842" s="353"/>
      <c r="BM842" s="14"/>
      <c r="BN842" s="14"/>
      <c r="BO842" s="14"/>
    </row>
    <row r="843" spans="1:67" ht="20.100000000000001" customHeight="1">
      <c r="A843" s="157"/>
      <c r="B843" s="1"/>
      <c r="C843" s="157"/>
      <c r="D843" s="1"/>
      <c r="E843" s="150"/>
      <c r="F843" s="150"/>
      <c r="G843" s="151"/>
      <c r="H843" s="150"/>
      <c r="I843" s="150"/>
      <c r="J843" s="151"/>
      <c r="K843" s="151"/>
      <c r="L843" s="150"/>
      <c r="M843" s="151"/>
      <c r="N843" s="151"/>
      <c r="O843" s="151"/>
      <c r="P843" s="150"/>
      <c r="Q843" s="150"/>
      <c r="R843" s="158"/>
      <c r="S843" s="158"/>
      <c r="T843" s="158"/>
      <c r="U843" s="158"/>
      <c r="V843" s="1"/>
      <c r="W843" s="1"/>
      <c r="X843" s="157"/>
      <c r="Y843" s="157"/>
      <c r="Z843" s="157"/>
      <c r="AA843" s="157"/>
      <c r="AB843" s="157"/>
      <c r="AC843" s="151"/>
      <c r="AD843" s="151"/>
      <c r="AE843" s="151"/>
      <c r="AF843" s="157"/>
      <c r="AG843" s="157"/>
      <c r="AH843" s="157"/>
      <c r="AI843" s="157"/>
      <c r="AJ843" s="157"/>
      <c r="AK843" s="157"/>
      <c r="AL843" s="157"/>
      <c r="AM843" s="157"/>
      <c r="AN843" s="159"/>
      <c r="AO843" s="159"/>
      <c r="AP843" s="160"/>
      <c r="AQ843" s="160"/>
      <c r="AR843" s="160"/>
      <c r="AS843" s="159"/>
      <c r="AT843" s="159"/>
      <c r="AU843" s="161"/>
      <c r="AV843" s="157"/>
      <c r="AW843" s="157"/>
      <c r="AX843" s="157"/>
      <c r="AY843" s="157"/>
      <c r="AZ843" s="157"/>
      <c r="BA843" s="157"/>
      <c r="BB843" s="157"/>
      <c r="BC843" s="151"/>
      <c r="BD843" s="157"/>
      <c r="BE843" s="157"/>
      <c r="BF843" s="157"/>
      <c r="BG843" s="157"/>
      <c r="BH843" s="157"/>
      <c r="BI843" s="157"/>
      <c r="BJ843" s="353"/>
      <c r="BK843" s="353"/>
      <c r="BL843" s="353"/>
      <c r="BM843" s="14"/>
      <c r="BN843" s="14"/>
      <c r="BO843" s="14"/>
    </row>
    <row r="844" spans="1:67" ht="20.100000000000001" customHeight="1">
      <c r="A844" s="157"/>
      <c r="B844" s="1"/>
      <c r="C844" s="157"/>
      <c r="D844" s="1"/>
      <c r="E844" s="150"/>
      <c r="F844" s="150"/>
      <c r="G844" s="151"/>
      <c r="H844" s="150"/>
      <c r="I844" s="150"/>
      <c r="J844" s="151"/>
      <c r="K844" s="151"/>
      <c r="L844" s="150"/>
      <c r="M844" s="151"/>
      <c r="N844" s="151"/>
      <c r="O844" s="151"/>
      <c r="P844" s="150"/>
      <c r="Q844" s="150"/>
      <c r="R844" s="158"/>
      <c r="S844" s="158"/>
      <c r="T844" s="158"/>
      <c r="U844" s="158"/>
      <c r="V844" s="1"/>
      <c r="W844" s="1"/>
      <c r="X844" s="157"/>
      <c r="Y844" s="157"/>
      <c r="Z844" s="157"/>
      <c r="AA844" s="157"/>
      <c r="AB844" s="157"/>
      <c r="AC844" s="151"/>
      <c r="AD844" s="151"/>
      <c r="AE844" s="151"/>
      <c r="AF844" s="157"/>
      <c r="AG844" s="157"/>
      <c r="AH844" s="157"/>
      <c r="AI844" s="157"/>
      <c r="AJ844" s="157"/>
      <c r="AK844" s="157"/>
      <c r="AL844" s="157"/>
      <c r="AM844" s="157"/>
      <c r="AN844" s="159"/>
      <c r="AO844" s="159"/>
      <c r="AP844" s="160"/>
      <c r="AQ844" s="160"/>
      <c r="AR844" s="160"/>
      <c r="AS844" s="159"/>
      <c r="AT844" s="159"/>
      <c r="AU844" s="161"/>
      <c r="AV844" s="157"/>
      <c r="AW844" s="157"/>
      <c r="AX844" s="157"/>
      <c r="AY844" s="157"/>
      <c r="AZ844" s="157"/>
      <c r="BA844" s="157"/>
      <c r="BB844" s="157"/>
      <c r="BC844" s="151"/>
      <c r="BD844" s="157"/>
      <c r="BE844" s="157"/>
      <c r="BF844" s="157"/>
      <c r="BG844" s="157"/>
      <c r="BH844" s="157"/>
      <c r="BI844" s="157"/>
      <c r="BJ844" s="353"/>
      <c r="BK844" s="353"/>
      <c r="BL844" s="353"/>
      <c r="BM844" s="14"/>
      <c r="BN844" s="14"/>
      <c r="BO844" s="14"/>
    </row>
    <row r="845" spans="1:67" ht="20.100000000000001" customHeight="1">
      <c r="A845" s="157"/>
      <c r="B845" s="1"/>
      <c r="C845" s="157"/>
      <c r="D845" s="1"/>
      <c r="E845" s="150"/>
      <c r="F845" s="150"/>
      <c r="G845" s="151"/>
      <c r="H845" s="150"/>
      <c r="I845" s="150"/>
      <c r="J845" s="151"/>
      <c r="K845" s="151"/>
      <c r="L845" s="150"/>
      <c r="M845" s="151"/>
      <c r="N845" s="151"/>
      <c r="O845" s="151"/>
      <c r="P845" s="150"/>
      <c r="Q845" s="150"/>
      <c r="R845" s="158"/>
      <c r="S845" s="158"/>
      <c r="T845" s="158"/>
      <c r="U845" s="158"/>
      <c r="V845" s="1"/>
      <c r="W845" s="1"/>
      <c r="X845" s="157"/>
      <c r="Y845" s="157"/>
      <c r="Z845" s="157"/>
      <c r="AA845" s="157"/>
      <c r="AB845" s="157"/>
      <c r="AC845" s="151"/>
      <c r="AD845" s="151"/>
      <c r="AE845" s="151"/>
      <c r="AF845" s="157"/>
      <c r="AG845" s="157"/>
      <c r="AH845" s="157"/>
      <c r="AI845" s="157"/>
      <c r="AJ845" s="157"/>
      <c r="AK845" s="157"/>
      <c r="AL845" s="157"/>
      <c r="AM845" s="157"/>
      <c r="AN845" s="159"/>
      <c r="AO845" s="159"/>
      <c r="AP845" s="160"/>
      <c r="AQ845" s="160"/>
      <c r="AR845" s="160"/>
      <c r="AS845" s="159"/>
      <c r="AT845" s="159"/>
      <c r="AU845" s="161"/>
      <c r="AV845" s="157"/>
      <c r="AW845" s="157"/>
      <c r="AX845" s="157"/>
      <c r="AY845" s="157"/>
      <c r="AZ845" s="157"/>
      <c r="BA845" s="157"/>
      <c r="BB845" s="157"/>
      <c r="BC845" s="151"/>
      <c r="BD845" s="157"/>
      <c r="BE845" s="157"/>
      <c r="BF845" s="157"/>
      <c r="BG845" s="157"/>
      <c r="BH845" s="157"/>
      <c r="BI845" s="157"/>
      <c r="BJ845" s="353"/>
      <c r="BK845" s="353"/>
      <c r="BL845" s="353"/>
      <c r="BM845" s="14"/>
      <c r="BN845" s="14"/>
      <c r="BO845" s="14"/>
    </row>
    <row r="846" spans="1:67" ht="20.100000000000001" customHeight="1">
      <c r="A846" s="157"/>
      <c r="B846" s="1"/>
      <c r="C846" s="157"/>
      <c r="D846" s="1"/>
      <c r="E846" s="150"/>
      <c r="F846" s="150"/>
      <c r="G846" s="151"/>
      <c r="H846" s="150"/>
      <c r="I846" s="150"/>
      <c r="J846" s="151"/>
      <c r="K846" s="151"/>
      <c r="L846" s="150"/>
      <c r="M846" s="151"/>
      <c r="N846" s="151"/>
      <c r="O846" s="151"/>
      <c r="P846" s="150"/>
      <c r="Q846" s="150"/>
      <c r="R846" s="158"/>
      <c r="S846" s="158"/>
      <c r="T846" s="158"/>
      <c r="U846" s="158"/>
      <c r="V846" s="1"/>
      <c r="W846" s="1"/>
      <c r="X846" s="157"/>
      <c r="Y846" s="157"/>
      <c r="Z846" s="157"/>
      <c r="AA846" s="157"/>
      <c r="AB846" s="157"/>
      <c r="AC846" s="151"/>
      <c r="AD846" s="151"/>
      <c r="AE846" s="151"/>
      <c r="AF846" s="157"/>
      <c r="AG846" s="157"/>
      <c r="AH846" s="157"/>
      <c r="AI846" s="157"/>
      <c r="AJ846" s="157"/>
      <c r="AK846" s="157"/>
      <c r="AL846" s="157"/>
      <c r="AM846" s="157"/>
      <c r="AN846" s="159"/>
      <c r="AO846" s="159"/>
      <c r="AP846" s="160"/>
      <c r="AQ846" s="160"/>
      <c r="AR846" s="160"/>
      <c r="AS846" s="159"/>
      <c r="AT846" s="159"/>
      <c r="AU846" s="161"/>
      <c r="AV846" s="157"/>
      <c r="AW846" s="157"/>
      <c r="AX846" s="157"/>
      <c r="AY846" s="157"/>
      <c r="AZ846" s="157"/>
      <c r="BA846" s="157"/>
      <c r="BB846" s="157"/>
      <c r="BC846" s="151"/>
      <c r="BD846" s="157"/>
      <c r="BE846" s="157"/>
      <c r="BF846" s="157"/>
      <c r="BG846" s="157"/>
      <c r="BH846" s="157"/>
      <c r="BI846" s="157"/>
      <c r="BJ846" s="353"/>
      <c r="BK846" s="353"/>
      <c r="BL846" s="353"/>
      <c r="BM846" s="14"/>
      <c r="BN846" s="14"/>
      <c r="BO846" s="14"/>
    </row>
    <row r="847" spans="1:67" ht="20.100000000000001" customHeight="1">
      <c r="A847" s="157"/>
      <c r="B847" s="1"/>
      <c r="C847" s="157"/>
      <c r="D847" s="1"/>
      <c r="E847" s="150"/>
      <c r="F847" s="150"/>
      <c r="G847" s="151"/>
      <c r="H847" s="150"/>
      <c r="I847" s="150"/>
      <c r="J847" s="151"/>
      <c r="K847" s="151"/>
      <c r="L847" s="150"/>
      <c r="M847" s="151"/>
      <c r="N847" s="151"/>
      <c r="O847" s="151"/>
      <c r="P847" s="150"/>
      <c r="Q847" s="150"/>
      <c r="R847" s="158"/>
      <c r="S847" s="158"/>
      <c r="T847" s="158"/>
      <c r="U847" s="158"/>
      <c r="V847" s="1"/>
      <c r="W847" s="1"/>
      <c r="X847" s="157"/>
      <c r="Y847" s="157"/>
      <c r="Z847" s="157"/>
      <c r="AA847" s="157"/>
      <c r="AB847" s="157"/>
      <c r="AC847" s="151"/>
      <c r="AD847" s="151"/>
      <c r="AE847" s="151"/>
      <c r="AF847" s="157"/>
      <c r="AG847" s="157"/>
      <c r="AH847" s="157"/>
      <c r="AI847" s="157"/>
      <c r="AJ847" s="157"/>
      <c r="AK847" s="157"/>
      <c r="AL847" s="157"/>
      <c r="AM847" s="157"/>
      <c r="AN847" s="159"/>
      <c r="AO847" s="159"/>
      <c r="AP847" s="160"/>
      <c r="AQ847" s="160"/>
      <c r="AR847" s="160"/>
      <c r="AS847" s="159"/>
      <c r="AT847" s="159"/>
      <c r="AU847" s="161"/>
      <c r="AV847" s="157"/>
      <c r="AW847" s="157"/>
      <c r="AX847" s="157"/>
      <c r="AY847" s="157"/>
      <c r="AZ847" s="157"/>
      <c r="BA847" s="157"/>
      <c r="BB847" s="157"/>
      <c r="BC847" s="151"/>
      <c r="BD847" s="157"/>
      <c r="BE847" s="157"/>
      <c r="BF847" s="157"/>
      <c r="BG847" s="157"/>
      <c r="BH847" s="157"/>
      <c r="BI847" s="157"/>
      <c r="BJ847" s="353"/>
      <c r="BK847" s="353"/>
      <c r="BL847" s="353"/>
      <c r="BM847" s="14"/>
      <c r="BN847" s="14"/>
      <c r="BO847" s="14"/>
    </row>
    <row r="848" spans="1:67" ht="20.100000000000001" customHeight="1">
      <c r="A848" s="157"/>
      <c r="B848" s="1"/>
      <c r="C848" s="157"/>
      <c r="D848" s="1"/>
      <c r="E848" s="150"/>
      <c r="F848" s="150"/>
      <c r="G848" s="151"/>
      <c r="H848" s="150"/>
      <c r="I848" s="150"/>
      <c r="J848" s="151"/>
      <c r="K848" s="151"/>
      <c r="L848" s="150"/>
      <c r="M848" s="151"/>
      <c r="N848" s="151"/>
      <c r="O848" s="151"/>
      <c r="P848" s="150"/>
      <c r="Q848" s="150"/>
      <c r="R848" s="158"/>
      <c r="S848" s="158"/>
      <c r="T848" s="158"/>
      <c r="U848" s="158"/>
      <c r="V848" s="1"/>
      <c r="W848" s="1"/>
      <c r="X848" s="157"/>
      <c r="Y848" s="157"/>
      <c r="Z848" s="157"/>
      <c r="AA848" s="157"/>
      <c r="AB848" s="157"/>
      <c r="AC848" s="151"/>
      <c r="AD848" s="151"/>
      <c r="AE848" s="151"/>
      <c r="AF848" s="157"/>
      <c r="AG848" s="157"/>
      <c r="AH848" s="157"/>
      <c r="AI848" s="157"/>
      <c r="AJ848" s="157"/>
      <c r="AK848" s="157"/>
      <c r="AL848" s="157"/>
      <c r="AM848" s="157"/>
      <c r="AN848" s="159"/>
      <c r="AO848" s="159"/>
      <c r="AP848" s="160"/>
      <c r="AQ848" s="160"/>
      <c r="AR848" s="160"/>
      <c r="AS848" s="159"/>
      <c r="AT848" s="159"/>
      <c r="AU848" s="161"/>
      <c r="AV848" s="157"/>
      <c r="AW848" s="157"/>
      <c r="AX848" s="157"/>
      <c r="AY848" s="157"/>
      <c r="AZ848" s="157"/>
      <c r="BA848" s="157"/>
      <c r="BB848" s="157"/>
      <c r="BC848" s="151"/>
      <c r="BD848" s="157"/>
      <c r="BE848" s="157"/>
      <c r="BF848" s="157"/>
      <c r="BG848" s="157"/>
      <c r="BH848" s="157"/>
      <c r="BI848" s="157"/>
      <c r="BJ848" s="353"/>
      <c r="BK848" s="353"/>
      <c r="BL848" s="353"/>
      <c r="BM848" s="14"/>
      <c r="BN848" s="14"/>
      <c r="BO848" s="14"/>
    </row>
    <row r="849" spans="1:67" ht="20.100000000000001" customHeight="1">
      <c r="A849" s="157"/>
      <c r="B849" s="1"/>
      <c r="C849" s="157"/>
      <c r="D849" s="1"/>
      <c r="E849" s="150"/>
      <c r="F849" s="150"/>
      <c r="G849" s="151"/>
      <c r="H849" s="150"/>
      <c r="I849" s="150"/>
      <c r="J849" s="151"/>
      <c r="K849" s="151"/>
      <c r="L849" s="150"/>
      <c r="M849" s="151"/>
      <c r="N849" s="151"/>
      <c r="O849" s="151"/>
      <c r="P849" s="150"/>
      <c r="Q849" s="150"/>
      <c r="R849" s="158"/>
      <c r="S849" s="158"/>
      <c r="T849" s="158"/>
      <c r="U849" s="158"/>
      <c r="V849" s="1"/>
      <c r="W849" s="1"/>
      <c r="X849" s="157"/>
      <c r="Y849" s="157"/>
      <c r="Z849" s="157"/>
      <c r="AA849" s="157"/>
      <c r="AB849" s="157"/>
      <c r="AC849" s="151"/>
      <c r="AD849" s="151"/>
      <c r="AE849" s="151"/>
      <c r="AF849" s="157"/>
      <c r="AG849" s="157"/>
      <c r="AH849" s="157"/>
      <c r="AI849" s="157"/>
      <c r="AJ849" s="157"/>
      <c r="AK849" s="157"/>
      <c r="AL849" s="157"/>
      <c r="AM849" s="157"/>
      <c r="AN849" s="159"/>
      <c r="AO849" s="159"/>
      <c r="AP849" s="160"/>
      <c r="AQ849" s="160"/>
      <c r="AR849" s="160"/>
      <c r="AS849" s="159"/>
      <c r="AT849" s="159"/>
      <c r="AU849" s="161"/>
      <c r="AV849" s="157"/>
      <c r="AW849" s="157"/>
      <c r="AX849" s="157"/>
      <c r="AY849" s="157"/>
      <c r="AZ849" s="157"/>
      <c r="BA849" s="157"/>
      <c r="BB849" s="157"/>
      <c r="BC849" s="151"/>
      <c r="BD849" s="157"/>
      <c r="BE849" s="157"/>
      <c r="BF849" s="157"/>
      <c r="BG849" s="157"/>
      <c r="BH849" s="157"/>
      <c r="BI849" s="157"/>
      <c r="BJ849" s="353"/>
      <c r="BK849" s="353"/>
      <c r="BL849" s="353"/>
      <c r="BM849" s="14"/>
      <c r="BN849" s="14"/>
      <c r="BO849" s="14"/>
    </row>
    <row r="850" spans="1:67" ht="20.100000000000001" customHeight="1">
      <c r="A850" s="157"/>
      <c r="B850" s="1"/>
      <c r="C850" s="157"/>
      <c r="D850" s="1"/>
      <c r="E850" s="150"/>
      <c r="F850" s="150"/>
      <c r="G850" s="151"/>
      <c r="H850" s="150"/>
      <c r="I850" s="150"/>
      <c r="J850" s="151"/>
      <c r="K850" s="151"/>
      <c r="L850" s="150"/>
      <c r="M850" s="151"/>
      <c r="N850" s="151"/>
      <c r="O850" s="151"/>
      <c r="P850" s="150"/>
      <c r="Q850" s="150"/>
      <c r="R850" s="158"/>
      <c r="S850" s="158"/>
      <c r="T850" s="158"/>
      <c r="U850" s="158"/>
      <c r="V850" s="1"/>
      <c r="W850" s="1"/>
      <c r="X850" s="157"/>
      <c r="Y850" s="157"/>
      <c r="Z850" s="157"/>
      <c r="AA850" s="157"/>
      <c r="AB850" s="157"/>
      <c r="AC850" s="151"/>
      <c r="AD850" s="151"/>
      <c r="AE850" s="151"/>
      <c r="AF850" s="157"/>
      <c r="AG850" s="157"/>
      <c r="AH850" s="157"/>
      <c r="AI850" s="157"/>
      <c r="AJ850" s="157"/>
      <c r="AK850" s="157"/>
      <c r="AL850" s="157"/>
      <c r="AM850" s="157"/>
      <c r="AN850" s="159"/>
      <c r="AO850" s="159"/>
      <c r="AP850" s="160"/>
      <c r="AQ850" s="160"/>
      <c r="AR850" s="160"/>
      <c r="AS850" s="159"/>
      <c r="AT850" s="159"/>
      <c r="AU850" s="161"/>
      <c r="AV850" s="157"/>
      <c r="AW850" s="157"/>
      <c r="AX850" s="157"/>
      <c r="AY850" s="157"/>
      <c r="AZ850" s="157"/>
      <c r="BA850" s="157"/>
      <c r="BB850" s="157"/>
      <c r="BC850" s="151"/>
      <c r="BD850" s="157"/>
      <c r="BE850" s="157"/>
      <c r="BF850" s="157"/>
      <c r="BG850" s="157"/>
      <c r="BH850" s="157"/>
      <c r="BI850" s="157"/>
      <c r="BJ850" s="353"/>
      <c r="BK850" s="353"/>
      <c r="BL850" s="353"/>
      <c r="BM850" s="14"/>
      <c r="BN850" s="14"/>
      <c r="BO850" s="14"/>
    </row>
    <row r="851" spans="1:67" ht="20.100000000000001" customHeight="1">
      <c r="A851" s="157"/>
      <c r="B851" s="1"/>
      <c r="C851" s="157"/>
      <c r="D851" s="1"/>
      <c r="E851" s="150"/>
      <c r="F851" s="150"/>
      <c r="G851" s="151"/>
      <c r="H851" s="150"/>
      <c r="I851" s="150"/>
      <c r="J851" s="151"/>
      <c r="K851" s="151"/>
      <c r="L851" s="150"/>
      <c r="M851" s="151"/>
      <c r="N851" s="151"/>
      <c r="O851" s="151"/>
      <c r="P851" s="150"/>
      <c r="Q851" s="150"/>
      <c r="R851" s="158"/>
      <c r="S851" s="158"/>
      <c r="T851" s="158"/>
      <c r="U851" s="158"/>
      <c r="V851" s="1"/>
      <c r="W851" s="1"/>
      <c r="X851" s="157"/>
      <c r="Y851" s="157"/>
      <c r="Z851" s="157"/>
      <c r="AA851" s="157"/>
      <c r="AB851" s="157"/>
      <c r="AC851" s="151"/>
      <c r="AD851" s="151"/>
      <c r="AE851" s="151"/>
      <c r="AF851" s="157"/>
      <c r="AG851" s="157"/>
      <c r="AH851" s="157"/>
      <c r="AI851" s="157"/>
      <c r="AJ851" s="157"/>
      <c r="AK851" s="157"/>
      <c r="AL851" s="157"/>
      <c r="AM851" s="157"/>
      <c r="AN851" s="159"/>
      <c r="AO851" s="159"/>
      <c r="AP851" s="160"/>
      <c r="AQ851" s="160"/>
      <c r="AR851" s="160"/>
      <c r="AS851" s="159"/>
      <c r="AT851" s="159"/>
      <c r="AU851" s="161"/>
      <c r="AV851" s="157"/>
      <c r="AW851" s="157"/>
      <c r="AX851" s="157"/>
      <c r="AY851" s="157"/>
      <c r="AZ851" s="157"/>
      <c r="BA851" s="157"/>
      <c r="BB851" s="157"/>
      <c r="BC851" s="151"/>
      <c r="BD851" s="157"/>
      <c r="BE851" s="157"/>
      <c r="BF851" s="157"/>
      <c r="BG851" s="157"/>
      <c r="BH851" s="157"/>
      <c r="BI851" s="157"/>
      <c r="BJ851" s="353"/>
      <c r="BK851" s="353"/>
      <c r="BL851" s="353"/>
      <c r="BM851" s="14"/>
      <c r="BN851" s="14"/>
      <c r="BO851" s="14"/>
    </row>
    <row r="852" spans="1:67" ht="20.100000000000001" customHeight="1">
      <c r="A852" s="157"/>
      <c r="B852" s="1"/>
      <c r="C852" s="157"/>
      <c r="D852" s="1"/>
      <c r="E852" s="150"/>
      <c r="F852" s="150"/>
      <c r="G852" s="151"/>
      <c r="H852" s="150"/>
      <c r="I852" s="150"/>
      <c r="J852" s="151"/>
      <c r="K852" s="151"/>
      <c r="L852" s="150"/>
      <c r="M852" s="151"/>
      <c r="N852" s="151"/>
      <c r="O852" s="151"/>
      <c r="P852" s="150"/>
      <c r="Q852" s="150"/>
      <c r="R852" s="158"/>
      <c r="S852" s="158"/>
      <c r="T852" s="158"/>
      <c r="U852" s="158"/>
      <c r="V852" s="1"/>
      <c r="W852" s="1"/>
      <c r="X852" s="157"/>
      <c r="Y852" s="157"/>
      <c r="Z852" s="157"/>
      <c r="AA852" s="157"/>
      <c r="AB852" s="157"/>
      <c r="AC852" s="151"/>
      <c r="AD852" s="151"/>
      <c r="AE852" s="151"/>
      <c r="AF852" s="157"/>
      <c r="AG852" s="157"/>
      <c r="AH852" s="157"/>
      <c r="AI852" s="157"/>
      <c r="AJ852" s="157"/>
      <c r="AK852" s="157"/>
      <c r="AL852" s="157"/>
      <c r="AM852" s="157"/>
      <c r="AN852" s="159"/>
      <c r="AO852" s="159"/>
      <c r="AP852" s="160"/>
      <c r="AQ852" s="160"/>
      <c r="AR852" s="160"/>
      <c r="AS852" s="159"/>
      <c r="AT852" s="159"/>
      <c r="AU852" s="161"/>
      <c r="AV852" s="157"/>
      <c r="AW852" s="157"/>
      <c r="AX852" s="157"/>
      <c r="AY852" s="157"/>
      <c r="AZ852" s="157"/>
      <c r="BA852" s="157"/>
      <c r="BB852" s="157"/>
      <c r="BC852" s="151"/>
      <c r="BD852" s="157"/>
      <c r="BE852" s="157"/>
      <c r="BF852" s="157"/>
      <c r="BG852" s="157"/>
      <c r="BH852" s="157"/>
      <c r="BI852" s="157"/>
      <c r="BJ852" s="353"/>
      <c r="BK852" s="353"/>
      <c r="BL852" s="353"/>
      <c r="BM852" s="14"/>
      <c r="BN852" s="14"/>
      <c r="BO852" s="14"/>
    </row>
    <row r="853" spans="1:67" ht="20.100000000000001" customHeight="1">
      <c r="A853" s="157"/>
      <c r="B853" s="1"/>
      <c r="C853" s="157"/>
      <c r="D853" s="1"/>
      <c r="E853" s="150"/>
      <c r="F853" s="150"/>
      <c r="G853" s="151"/>
      <c r="H853" s="150"/>
      <c r="I853" s="150"/>
      <c r="J853" s="151"/>
      <c r="K853" s="151"/>
      <c r="L853" s="150"/>
      <c r="M853" s="151"/>
      <c r="N853" s="151"/>
      <c r="O853" s="151"/>
      <c r="P853" s="150"/>
      <c r="Q853" s="150"/>
      <c r="R853" s="158"/>
      <c r="S853" s="158"/>
      <c r="T853" s="158"/>
      <c r="U853" s="158"/>
      <c r="V853" s="1"/>
      <c r="W853" s="1"/>
      <c r="X853" s="157"/>
      <c r="Y853" s="157"/>
      <c r="Z853" s="157"/>
      <c r="AA853" s="157"/>
      <c r="AB853" s="157"/>
      <c r="AC853" s="151"/>
      <c r="AD853" s="151"/>
      <c r="AE853" s="151"/>
      <c r="AF853" s="157"/>
      <c r="AG853" s="157"/>
      <c r="AH853" s="157"/>
      <c r="AI853" s="157"/>
      <c r="AJ853" s="157"/>
      <c r="AK853" s="157"/>
      <c r="AL853" s="157"/>
      <c r="AM853" s="157"/>
      <c r="AN853" s="159"/>
      <c r="AO853" s="159"/>
      <c r="AP853" s="160"/>
      <c r="AQ853" s="160"/>
      <c r="AR853" s="160"/>
      <c r="AS853" s="159"/>
      <c r="AT853" s="159"/>
      <c r="AU853" s="161"/>
      <c r="AV853" s="157"/>
      <c r="AW853" s="157"/>
      <c r="AX853" s="157"/>
      <c r="AY853" s="157"/>
      <c r="AZ853" s="157"/>
      <c r="BA853" s="157"/>
      <c r="BB853" s="157"/>
      <c r="BC853" s="151"/>
      <c r="BD853" s="157"/>
      <c r="BE853" s="157"/>
      <c r="BF853" s="157"/>
      <c r="BG853" s="157"/>
      <c r="BH853" s="157"/>
      <c r="BI853" s="157"/>
      <c r="BJ853" s="353"/>
      <c r="BK853" s="353"/>
      <c r="BL853" s="353"/>
      <c r="BM853" s="14"/>
      <c r="BN853" s="14"/>
      <c r="BO853" s="14"/>
    </row>
    <row r="854" spans="1:67" ht="20.100000000000001" customHeight="1">
      <c r="A854" s="157"/>
      <c r="B854" s="1"/>
      <c r="C854" s="157"/>
      <c r="D854" s="1"/>
      <c r="E854" s="150"/>
      <c r="F854" s="150"/>
      <c r="G854" s="151"/>
      <c r="H854" s="150"/>
      <c r="I854" s="150"/>
      <c r="J854" s="151"/>
      <c r="K854" s="151"/>
      <c r="L854" s="150"/>
      <c r="M854" s="151"/>
      <c r="N854" s="151"/>
      <c r="O854" s="151"/>
      <c r="P854" s="150"/>
      <c r="Q854" s="150"/>
      <c r="R854" s="158"/>
      <c r="S854" s="158"/>
      <c r="T854" s="158"/>
      <c r="U854" s="158"/>
      <c r="V854" s="1"/>
      <c r="W854" s="1"/>
      <c r="X854" s="157"/>
      <c r="Y854" s="157"/>
      <c r="Z854" s="157"/>
      <c r="AA854" s="157"/>
      <c r="AB854" s="157"/>
      <c r="AC854" s="151"/>
      <c r="AD854" s="151"/>
      <c r="AE854" s="151"/>
      <c r="AF854" s="157"/>
      <c r="AG854" s="157"/>
      <c r="AH854" s="157"/>
      <c r="AI854" s="157"/>
      <c r="AJ854" s="157"/>
      <c r="AK854" s="157"/>
      <c r="AL854" s="157"/>
      <c r="AM854" s="157"/>
      <c r="AN854" s="159"/>
      <c r="AO854" s="159"/>
      <c r="AP854" s="160"/>
      <c r="AQ854" s="160"/>
      <c r="AR854" s="160"/>
      <c r="AS854" s="159"/>
      <c r="AT854" s="159"/>
      <c r="AU854" s="161"/>
      <c r="AV854" s="157"/>
      <c r="AW854" s="157"/>
      <c r="AX854" s="157"/>
      <c r="AY854" s="157"/>
      <c r="AZ854" s="157"/>
      <c r="BA854" s="157"/>
      <c r="BB854" s="157"/>
      <c r="BC854" s="151"/>
      <c r="BD854" s="157"/>
      <c r="BE854" s="157"/>
      <c r="BF854" s="157"/>
      <c r="BG854" s="157"/>
      <c r="BH854" s="157"/>
      <c r="BI854" s="157"/>
      <c r="BJ854" s="353"/>
      <c r="BK854" s="353"/>
      <c r="BL854" s="353"/>
      <c r="BM854" s="14"/>
      <c r="BN854" s="14"/>
      <c r="BO854" s="14"/>
    </row>
    <row r="855" spans="1:67" ht="20.100000000000001" customHeight="1">
      <c r="A855" s="157"/>
      <c r="B855" s="1"/>
      <c r="C855" s="157"/>
      <c r="D855" s="1"/>
      <c r="E855" s="150"/>
      <c r="F855" s="150"/>
      <c r="G855" s="151"/>
      <c r="H855" s="150"/>
      <c r="I855" s="150"/>
      <c r="J855" s="151"/>
      <c r="K855" s="151"/>
      <c r="L855" s="150"/>
      <c r="M855" s="151"/>
      <c r="N855" s="151"/>
      <c r="O855" s="151"/>
      <c r="P855" s="150"/>
      <c r="Q855" s="150"/>
      <c r="R855" s="158"/>
      <c r="S855" s="158"/>
      <c r="T855" s="158"/>
      <c r="U855" s="158"/>
      <c r="V855" s="1"/>
      <c r="W855" s="1"/>
      <c r="X855" s="157"/>
      <c r="Y855" s="157"/>
      <c r="Z855" s="157"/>
      <c r="AA855" s="157"/>
      <c r="AB855" s="157"/>
      <c r="AC855" s="151"/>
      <c r="AD855" s="151"/>
      <c r="AE855" s="151"/>
      <c r="AF855" s="157"/>
      <c r="AG855" s="157"/>
      <c r="AH855" s="157"/>
      <c r="AI855" s="157"/>
      <c r="AJ855" s="157"/>
      <c r="AK855" s="157"/>
      <c r="AL855" s="157"/>
      <c r="AM855" s="157"/>
      <c r="AN855" s="159"/>
      <c r="AO855" s="159"/>
      <c r="AP855" s="160"/>
      <c r="AQ855" s="160"/>
      <c r="AR855" s="160"/>
      <c r="AS855" s="159"/>
      <c r="AT855" s="159"/>
      <c r="AU855" s="161"/>
      <c r="AV855" s="157"/>
      <c r="AW855" s="157"/>
      <c r="AX855" s="157"/>
      <c r="AY855" s="157"/>
      <c r="AZ855" s="157"/>
      <c r="BA855" s="157"/>
      <c r="BB855" s="157"/>
      <c r="BC855" s="151"/>
      <c r="BD855" s="157"/>
      <c r="BE855" s="157"/>
      <c r="BF855" s="157"/>
      <c r="BG855" s="157"/>
      <c r="BH855" s="157"/>
      <c r="BI855" s="157"/>
      <c r="BJ855" s="353"/>
      <c r="BK855" s="353"/>
      <c r="BL855" s="353"/>
      <c r="BM855" s="14"/>
      <c r="BN855" s="14"/>
      <c r="BO855" s="14"/>
    </row>
    <row r="856" spans="1:67" ht="20.100000000000001" customHeight="1">
      <c r="A856" s="157"/>
      <c r="B856" s="1"/>
      <c r="C856" s="157"/>
      <c r="D856" s="1"/>
      <c r="E856" s="150"/>
      <c r="F856" s="150"/>
      <c r="G856" s="151"/>
      <c r="H856" s="150"/>
      <c r="I856" s="150"/>
      <c r="J856" s="151"/>
      <c r="K856" s="151"/>
      <c r="L856" s="150"/>
      <c r="M856" s="151"/>
      <c r="N856" s="151"/>
      <c r="O856" s="151"/>
      <c r="P856" s="150"/>
      <c r="Q856" s="150"/>
      <c r="R856" s="158"/>
      <c r="S856" s="158"/>
      <c r="T856" s="158"/>
      <c r="U856" s="158"/>
      <c r="V856" s="1"/>
      <c r="W856" s="1"/>
      <c r="X856" s="157"/>
      <c r="Y856" s="157"/>
      <c r="Z856" s="157"/>
      <c r="AA856" s="157"/>
      <c r="AB856" s="157"/>
      <c r="AC856" s="151"/>
      <c r="AD856" s="151"/>
      <c r="AE856" s="151"/>
      <c r="AF856" s="157"/>
      <c r="AG856" s="157"/>
      <c r="AH856" s="157"/>
      <c r="AI856" s="157"/>
      <c r="AJ856" s="157"/>
      <c r="AK856" s="157"/>
      <c r="AL856" s="157"/>
      <c r="AM856" s="157"/>
      <c r="AN856" s="159"/>
      <c r="AO856" s="159"/>
      <c r="AP856" s="160"/>
      <c r="AQ856" s="160"/>
      <c r="AR856" s="160"/>
      <c r="AS856" s="159"/>
      <c r="AT856" s="159"/>
      <c r="AU856" s="161"/>
      <c r="AV856" s="157"/>
      <c r="AW856" s="157"/>
      <c r="AX856" s="157"/>
      <c r="AY856" s="157"/>
      <c r="AZ856" s="157"/>
      <c r="BA856" s="157"/>
      <c r="BB856" s="157"/>
      <c r="BC856" s="151"/>
      <c r="BD856" s="157"/>
      <c r="BE856" s="157"/>
      <c r="BF856" s="157"/>
      <c r="BG856" s="157"/>
      <c r="BH856" s="157"/>
      <c r="BI856" s="157"/>
      <c r="BJ856" s="353"/>
      <c r="BK856" s="353"/>
      <c r="BL856" s="353"/>
      <c r="BM856" s="14"/>
      <c r="BN856" s="14"/>
      <c r="BO856" s="14"/>
    </row>
    <row r="857" spans="1:67" ht="20.100000000000001" customHeight="1">
      <c r="A857" s="157"/>
      <c r="B857" s="1"/>
      <c r="C857" s="157"/>
      <c r="D857" s="1"/>
      <c r="E857" s="150"/>
      <c r="F857" s="150"/>
      <c r="G857" s="151"/>
      <c r="H857" s="150"/>
      <c r="I857" s="150"/>
      <c r="J857" s="151"/>
      <c r="K857" s="151"/>
      <c r="L857" s="150"/>
      <c r="M857" s="151"/>
      <c r="N857" s="151"/>
      <c r="O857" s="151"/>
      <c r="P857" s="150"/>
      <c r="Q857" s="150"/>
      <c r="R857" s="158"/>
      <c r="S857" s="158"/>
      <c r="T857" s="158"/>
      <c r="U857" s="158"/>
      <c r="V857" s="1"/>
      <c r="W857" s="1"/>
      <c r="X857" s="157"/>
      <c r="Y857" s="157"/>
      <c r="Z857" s="157"/>
      <c r="AA857" s="157"/>
      <c r="AB857" s="157"/>
      <c r="AC857" s="151"/>
      <c r="AD857" s="151"/>
      <c r="AE857" s="151"/>
      <c r="AF857" s="157"/>
      <c r="AG857" s="157"/>
      <c r="AH857" s="157"/>
      <c r="AI857" s="157"/>
      <c r="AJ857" s="157"/>
      <c r="AK857" s="157"/>
      <c r="AL857" s="157"/>
      <c r="AM857" s="157"/>
      <c r="AN857" s="159"/>
      <c r="AO857" s="159"/>
      <c r="AP857" s="160"/>
      <c r="AQ857" s="160"/>
      <c r="AR857" s="160"/>
      <c r="AS857" s="159"/>
      <c r="AT857" s="159"/>
      <c r="AU857" s="161"/>
      <c r="AV857" s="157"/>
      <c r="AW857" s="157"/>
      <c r="AX857" s="157"/>
      <c r="AY857" s="157"/>
      <c r="AZ857" s="157"/>
      <c r="BA857" s="157"/>
      <c r="BB857" s="157"/>
      <c r="BC857" s="151"/>
      <c r="BD857" s="157"/>
      <c r="BE857" s="157"/>
      <c r="BF857" s="157"/>
      <c r="BG857" s="157"/>
      <c r="BH857" s="157"/>
      <c r="BI857" s="157"/>
      <c r="BJ857" s="353"/>
      <c r="BK857" s="353"/>
      <c r="BL857" s="353"/>
      <c r="BM857" s="14"/>
      <c r="BN857" s="14"/>
      <c r="BO857" s="14"/>
    </row>
    <row r="858" spans="1:67" ht="20.100000000000001" customHeight="1">
      <c r="A858" s="157"/>
      <c r="B858" s="1"/>
      <c r="C858" s="157"/>
      <c r="D858" s="1"/>
      <c r="E858" s="150"/>
      <c r="F858" s="150"/>
      <c r="G858" s="151"/>
      <c r="H858" s="150"/>
      <c r="I858" s="150"/>
      <c r="J858" s="151"/>
      <c r="K858" s="151"/>
      <c r="L858" s="150"/>
      <c r="M858" s="151"/>
      <c r="N858" s="151"/>
      <c r="O858" s="151"/>
      <c r="P858" s="150"/>
      <c r="Q858" s="150"/>
      <c r="R858" s="158"/>
      <c r="S858" s="158"/>
      <c r="T858" s="158"/>
      <c r="U858" s="158"/>
      <c r="V858" s="1"/>
      <c r="W858" s="1"/>
      <c r="X858" s="157"/>
      <c r="Y858" s="157"/>
      <c r="Z858" s="157"/>
      <c r="AA858" s="157"/>
      <c r="AB858" s="157"/>
      <c r="AC858" s="151"/>
      <c r="AD858" s="151"/>
      <c r="AE858" s="151"/>
      <c r="AF858" s="157"/>
      <c r="AG858" s="157"/>
      <c r="AH858" s="157"/>
      <c r="AI858" s="157"/>
      <c r="AJ858" s="157"/>
      <c r="AK858" s="157"/>
      <c r="AL858" s="157"/>
      <c r="AM858" s="157"/>
      <c r="AN858" s="159"/>
      <c r="AO858" s="159"/>
      <c r="AP858" s="160"/>
      <c r="AQ858" s="160"/>
      <c r="AR858" s="160"/>
      <c r="AS858" s="159"/>
      <c r="AT858" s="159"/>
      <c r="AU858" s="161"/>
      <c r="AV858" s="157"/>
      <c r="AW858" s="157"/>
      <c r="AX858" s="157"/>
      <c r="AY858" s="157"/>
      <c r="AZ858" s="157"/>
      <c r="BA858" s="157"/>
      <c r="BB858" s="157"/>
      <c r="BC858" s="151"/>
      <c r="BD858" s="157"/>
      <c r="BE858" s="157"/>
      <c r="BF858" s="157"/>
      <c r="BG858" s="157"/>
      <c r="BH858" s="157"/>
      <c r="BI858" s="157"/>
      <c r="BJ858" s="353"/>
      <c r="BK858" s="353"/>
      <c r="BL858" s="353"/>
      <c r="BM858" s="14"/>
      <c r="BN858" s="14"/>
      <c r="BO858" s="14"/>
    </row>
    <row r="859" spans="1:67" ht="20.100000000000001" customHeight="1">
      <c r="A859" s="157"/>
      <c r="B859" s="1"/>
      <c r="C859" s="157"/>
      <c r="D859" s="1"/>
      <c r="E859" s="150"/>
      <c r="F859" s="150"/>
      <c r="G859" s="151"/>
      <c r="H859" s="150"/>
      <c r="I859" s="150"/>
      <c r="J859" s="151"/>
      <c r="K859" s="151"/>
      <c r="L859" s="150"/>
      <c r="M859" s="151"/>
      <c r="N859" s="151"/>
      <c r="O859" s="151"/>
      <c r="P859" s="150"/>
      <c r="Q859" s="150"/>
      <c r="R859" s="158"/>
      <c r="S859" s="158"/>
      <c r="T859" s="158"/>
      <c r="U859" s="158"/>
      <c r="V859" s="1"/>
      <c r="W859" s="1"/>
      <c r="X859" s="157"/>
      <c r="Y859" s="157"/>
      <c r="Z859" s="157"/>
      <c r="AA859" s="157"/>
      <c r="AB859" s="157"/>
      <c r="AC859" s="151"/>
      <c r="AD859" s="151"/>
      <c r="AE859" s="151"/>
      <c r="AF859" s="157"/>
      <c r="AG859" s="157"/>
      <c r="AH859" s="157"/>
      <c r="AI859" s="157"/>
      <c r="AJ859" s="157"/>
      <c r="AK859" s="157"/>
      <c r="AL859" s="157"/>
      <c r="AM859" s="157"/>
      <c r="AN859" s="159"/>
      <c r="AO859" s="159"/>
      <c r="AP859" s="160"/>
      <c r="AQ859" s="160"/>
      <c r="AR859" s="160"/>
      <c r="AS859" s="159"/>
      <c r="AT859" s="159"/>
      <c r="AU859" s="161"/>
      <c r="AV859" s="157"/>
      <c r="AW859" s="157"/>
      <c r="AX859" s="157"/>
      <c r="AY859" s="157"/>
      <c r="AZ859" s="157"/>
      <c r="BA859" s="157"/>
      <c r="BB859" s="157"/>
      <c r="BC859" s="151"/>
      <c r="BD859" s="157"/>
      <c r="BE859" s="157"/>
      <c r="BF859" s="157"/>
      <c r="BG859" s="157"/>
      <c r="BH859" s="157"/>
      <c r="BI859" s="157"/>
      <c r="BJ859" s="353"/>
      <c r="BK859" s="353"/>
      <c r="BL859" s="353"/>
      <c r="BM859" s="14"/>
      <c r="BN859" s="14"/>
      <c r="BO859" s="14"/>
    </row>
    <row r="860" spans="1:67" ht="20.100000000000001" customHeight="1">
      <c r="A860" s="157"/>
      <c r="B860" s="1"/>
      <c r="C860" s="157"/>
      <c r="D860" s="1"/>
      <c r="E860" s="150"/>
      <c r="F860" s="150"/>
      <c r="G860" s="151"/>
      <c r="H860" s="150"/>
      <c r="I860" s="150"/>
      <c r="J860" s="151"/>
      <c r="K860" s="151"/>
      <c r="L860" s="150"/>
      <c r="M860" s="151"/>
      <c r="N860" s="151"/>
      <c r="O860" s="151"/>
      <c r="P860" s="150"/>
      <c r="Q860" s="150"/>
      <c r="R860" s="158"/>
      <c r="S860" s="158"/>
      <c r="T860" s="158"/>
      <c r="U860" s="158"/>
      <c r="V860" s="1"/>
      <c r="W860" s="1"/>
      <c r="X860" s="157"/>
      <c r="Y860" s="157"/>
      <c r="Z860" s="157"/>
      <c r="AA860" s="157"/>
      <c r="AB860" s="157"/>
      <c r="AC860" s="151"/>
      <c r="AD860" s="151"/>
      <c r="AE860" s="151"/>
      <c r="AF860" s="157"/>
      <c r="AG860" s="157"/>
      <c r="AH860" s="157"/>
      <c r="AI860" s="157"/>
      <c r="AJ860" s="157"/>
      <c r="AK860" s="157"/>
      <c r="AL860" s="157"/>
      <c r="AM860" s="157"/>
      <c r="AN860" s="159"/>
      <c r="AO860" s="159"/>
      <c r="AP860" s="160"/>
      <c r="AQ860" s="160"/>
      <c r="AR860" s="160"/>
      <c r="AS860" s="159"/>
      <c r="AT860" s="159"/>
      <c r="AU860" s="161"/>
      <c r="AV860" s="157"/>
      <c r="AW860" s="157"/>
      <c r="AX860" s="157"/>
      <c r="AY860" s="157"/>
      <c r="AZ860" s="157"/>
      <c r="BA860" s="157"/>
      <c r="BB860" s="157"/>
      <c r="BC860" s="151"/>
      <c r="BD860" s="157"/>
      <c r="BE860" s="157"/>
      <c r="BF860" s="157"/>
      <c r="BG860" s="157"/>
      <c r="BH860" s="157"/>
      <c r="BI860" s="157"/>
      <c r="BJ860" s="353"/>
      <c r="BK860" s="353"/>
      <c r="BL860" s="353"/>
      <c r="BM860" s="14"/>
      <c r="BN860" s="14"/>
      <c r="BO860" s="14"/>
    </row>
    <row r="861" spans="1:67" ht="20.100000000000001" customHeight="1">
      <c r="A861" s="157"/>
      <c r="B861" s="1"/>
      <c r="C861" s="157"/>
      <c r="D861" s="1"/>
      <c r="E861" s="150"/>
      <c r="F861" s="150"/>
      <c r="G861" s="151"/>
      <c r="H861" s="150"/>
      <c r="I861" s="150"/>
      <c r="J861" s="151"/>
      <c r="K861" s="151"/>
      <c r="L861" s="150"/>
      <c r="M861" s="151"/>
      <c r="N861" s="151"/>
      <c r="O861" s="151"/>
      <c r="P861" s="150"/>
      <c r="Q861" s="150"/>
      <c r="R861" s="158"/>
      <c r="S861" s="158"/>
      <c r="T861" s="158"/>
      <c r="U861" s="158"/>
      <c r="V861" s="1"/>
      <c r="W861" s="1"/>
      <c r="X861" s="157"/>
      <c r="Y861" s="157"/>
      <c r="Z861" s="157"/>
      <c r="AA861" s="157"/>
      <c r="AB861" s="157"/>
      <c r="AC861" s="151"/>
      <c r="AD861" s="151"/>
      <c r="AE861" s="151"/>
      <c r="AF861" s="157"/>
      <c r="AG861" s="157"/>
      <c r="AH861" s="157"/>
      <c r="AI861" s="157"/>
      <c r="AJ861" s="157"/>
      <c r="AK861" s="157"/>
      <c r="AL861" s="157"/>
      <c r="AM861" s="157"/>
      <c r="AN861" s="159"/>
      <c r="AO861" s="159"/>
      <c r="AP861" s="160"/>
      <c r="AQ861" s="160"/>
      <c r="AR861" s="160"/>
      <c r="AS861" s="159"/>
      <c r="AT861" s="159"/>
      <c r="AU861" s="161"/>
      <c r="AV861" s="157"/>
      <c r="AW861" s="157"/>
      <c r="AX861" s="157"/>
      <c r="AY861" s="157"/>
      <c r="AZ861" s="157"/>
      <c r="BA861" s="157"/>
      <c r="BB861" s="157"/>
      <c r="BC861" s="151"/>
      <c r="BD861" s="157"/>
      <c r="BE861" s="157"/>
      <c r="BF861" s="157"/>
      <c r="BG861" s="157"/>
      <c r="BH861" s="157"/>
      <c r="BI861" s="157"/>
      <c r="BJ861" s="353"/>
      <c r="BK861" s="353"/>
      <c r="BL861" s="353"/>
      <c r="BM861" s="14"/>
      <c r="BN861" s="14"/>
      <c r="BO861" s="14"/>
    </row>
    <row r="862" spans="1:67" ht="20.100000000000001" customHeight="1">
      <c r="A862" s="157"/>
      <c r="B862" s="1"/>
      <c r="C862" s="157"/>
      <c r="D862" s="1"/>
      <c r="E862" s="150"/>
      <c r="F862" s="150"/>
      <c r="G862" s="151"/>
      <c r="H862" s="150"/>
      <c r="I862" s="150"/>
      <c r="J862" s="151"/>
      <c r="K862" s="151"/>
      <c r="L862" s="150"/>
      <c r="M862" s="151"/>
      <c r="N862" s="151"/>
      <c r="O862" s="151"/>
      <c r="P862" s="150"/>
      <c r="Q862" s="150"/>
      <c r="R862" s="158"/>
      <c r="S862" s="158"/>
      <c r="T862" s="158"/>
      <c r="U862" s="158"/>
      <c r="V862" s="1"/>
      <c r="W862" s="1"/>
      <c r="X862" s="157"/>
      <c r="Y862" s="157"/>
      <c r="Z862" s="157"/>
      <c r="AA862" s="157"/>
      <c r="AB862" s="157"/>
      <c r="AC862" s="151"/>
      <c r="AD862" s="151"/>
      <c r="AE862" s="151"/>
      <c r="AF862" s="157"/>
      <c r="AG862" s="157"/>
      <c r="AH862" s="157"/>
      <c r="AI862" s="157"/>
      <c r="AJ862" s="157"/>
      <c r="AK862" s="157"/>
      <c r="AL862" s="157"/>
      <c r="AM862" s="157"/>
      <c r="AN862" s="159"/>
      <c r="AO862" s="159"/>
      <c r="AP862" s="160"/>
      <c r="AQ862" s="160"/>
      <c r="AR862" s="160"/>
      <c r="AS862" s="159"/>
      <c r="AT862" s="159"/>
      <c r="AU862" s="161"/>
      <c r="AV862" s="157"/>
      <c r="AW862" s="157"/>
      <c r="AX862" s="157"/>
      <c r="AY862" s="157"/>
      <c r="AZ862" s="157"/>
      <c r="BA862" s="157"/>
      <c r="BB862" s="157"/>
      <c r="BC862" s="151"/>
      <c r="BD862" s="157"/>
      <c r="BE862" s="157"/>
      <c r="BF862" s="157"/>
      <c r="BG862" s="157"/>
      <c r="BH862" s="157"/>
      <c r="BI862" s="157"/>
      <c r="BJ862" s="353"/>
      <c r="BK862" s="353"/>
      <c r="BL862" s="353"/>
      <c r="BM862" s="14"/>
      <c r="BN862" s="14"/>
      <c r="BO862" s="14"/>
    </row>
    <row r="863" spans="1:67" ht="20.100000000000001" customHeight="1">
      <c r="A863" s="157"/>
      <c r="B863" s="1"/>
      <c r="C863" s="157"/>
      <c r="D863" s="1"/>
      <c r="E863" s="150"/>
      <c r="F863" s="150"/>
      <c r="G863" s="151"/>
      <c r="H863" s="150"/>
      <c r="I863" s="150"/>
      <c r="J863" s="151"/>
      <c r="K863" s="151"/>
      <c r="L863" s="150"/>
      <c r="M863" s="151"/>
      <c r="N863" s="151"/>
      <c r="O863" s="151"/>
      <c r="P863" s="150"/>
      <c r="Q863" s="150"/>
      <c r="R863" s="158"/>
      <c r="S863" s="158"/>
      <c r="T863" s="158"/>
      <c r="U863" s="158"/>
      <c r="V863" s="1"/>
      <c r="W863" s="1"/>
      <c r="X863" s="157"/>
      <c r="Y863" s="157"/>
      <c r="Z863" s="157"/>
      <c r="AA863" s="157"/>
      <c r="AB863" s="157"/>
      <c r="AC863" s="151"/>
      <c r="AD863" s="151"/>
      <c r="AE863" s="151"/>
      <c r="AF863" s="157"/>
      <c r="AG863" s="157"/>
      <c r="AH863" s="157"/>
      <c r="AI863" s="157"/>
      <c r="AJ863" s="157"/>
      <c r="AK863" s="157"/>
      <c r="AL863" s="157"/>
      <c r="AM863" s="157"/>
      <c r="AN863" s="159"/>
      <c r="AO863" s="159"/>
      <c r="AP863" s="160"/>
      <c r="AQ863" s="160"/>
      <c r="AR863" s="160"/>
      <c r="AS863" s="159"/>
      <c r="AT863" s="159"/>
      <c r="AU863" s="161"/>
      <c r="AV863" s="157"/>
      <c r="AW863" s="157"/>
      <c r="AX863" s="157"/>
      <c r="AY863" s="157"/>
      <c r="AZ863" s="157"/>
      <c r="BA863" s="157"/>
      <c r="BB863" s="157"/>
      <c r="BC863" s="151"/>
      <c r="BD863" s="157"/>
      <c r="BE863" s="157"/>
      <c r="BF863" s="157"/>
      <c r="BG863" s="157"/>
      <c r="BH863" s="157"/>
      <c r="BI863" s="157"/>
      <c r="BJ863" s="353"/>
      <c r="BK863" s="353"/>
      <c r="BL863" s="353"/>
      <c r="BM863" s="14"/>
      <c r="BN863" s="14"/>
      <c r="BO863" s="14"/>
    </row>
    <row r="864" spans="1:67" ht="20.100000000000001" customHeight="1">
      <c r="A864" s="157"/>
      <c r="B864" s="1"/>
      <c r="C864" s="157"/>
      <c r="D864" s="1"/>
      <c r="E864" s="150"/>
      <c r="F864" s="150"/>
      <c r="G864" s="151"/>
      <c r="H864" s="150"/>
      <c r="I864" s="150"/>
      <c r="J864" s="151"/>
      <c r="K864" s="151"/>
      <c r="L864" s="150"/>
      <c r="M864" s="151"/>
      <c r="N864" s="151"/>
      <c r="O864" s="151"/>
      <c r="P864" s="150"/>
      <c r="Q864" s="150"/>
      <c r="R864" s="158"/>
      <c r="S864" s="158"/>
      <c r="T864" s="158"/>
      <c r="U864" s="158"/>
      <c r="V864" s="1"/>
      <c r="W864" s="1"/>
      <c r="X864" s="157"/>
      <c r="Y864" s="157"/>
      <c r="Z864" s="157"/>
      <c r="AA864" s="157"/>
      <c r="AB864" s="157"/>
      <c r="AC864" s="151"/>
      <c r="AD864" s="151"/>
      <c r="AE864" s="151"/>
      <c r="AF864" s="157"/>
      <c r="AG864" s="157"/>
      <c r="AH864" s="157"/>
      <c r="AI864" s="157"/>
      <c r="AJ864" s="157"/>
      <c r="AK864" s="157"/>
      <c r="AL864" s="157"/>
      <c r="AM864" s="157"/>
      <c r="AN864" s="159"/>
      <c r="AO864" s="159"/>
      <c r="AP864" s="160"/>
      <c r="AQ864" s="160"/>
      <c r="AR864" s="160"/>
      <c r="AS864" s="159"/>
      <c r="AT864" s="159"/>
      <c r="AU864" s="161"/>
      <c r="AV864" s="157"/>
      <c r="AW864" s="157"/>
      <c r="AX864" s="157"/>
      <c r="AY864" s="157"/>
      <c r="AZ864" s="157"/>
      <c r="BA864" s="157"/>
      <c r="BB864" s="157"/>
      <c r="BC864" s="151"/>
      <c r="BD864" s="157"/>
      <c r="BE864" s="157"/>
      <c r="BF864" s="157"/>
      <c r="BG864" s="157"/>
      <c r="BH864" s="157"/>
      <c r="BI864" s="157"/>
      <c r="BJ864" s="353"/>
      <c r="BK864" s="353"/>
      <c r="BL864" s="353"/>
      <c r="BM864" s="14"/>
      <c r="BN864" s="14"/>
      <c r="BO864" s="14"/>
    </row>
    <row r="865" spans="1:67" ht="20.100000000000001" customHeight="1">
      <c r="A865" s="157"/>
      <c r="B865" s="1"/>
      <c r="C865" s="157"/>
      <c r="D865" s="1"/>
      <c r="E865" s="150"/>
      <c r="F865" s="150"/>
      <c r="G865" s="151"/>
      <c r="H865" s="150"/>
      <c r="I865" s="150"/>
      <c r="J865" s="151"/>
      <c r="K865" s="151"/>
      <c r="L865" s="150"/>
      <c r="M865" s="151"/>
      <c r="N865" s="151"/>
      <c r="O865" s="151"/>
      <c r="P865" s="150"/>
      <c r="Q865" s="150"/>
      <c r="R865" s="158"/>
      <c r="S865" s="158"/>
      <c r="T865" s="158"/>
      <c r="U865" s="158"/>
      <c r="V865" s="1"/>
      <c r="W865" s="1"/>
      <c r="X865" s="157"/>
      <c r="Y865" s="157"/>
      <c r="Z865" s="157"/>
      <c r="AA865" s="157"/>
      <c r="AB865" s="157"/>
      <c r="AC865" s="151"/>
      <c r="AD865" s="151"/>
      <c r="AE865" s="151"/>
      <c r="AF865" s="157"/>
      <c r="AG865" s="157"/>
      <c r="AH865" s="157"/>
      <c r="AI865" s="157"/>
      <c r="AJ865" s="157"/>
      <c r="AK865" s="157"/>
      <c r="AL865" s="157"/>
      <c r="AM865" s="157"/>
      <c r="AN865" s="159"/>
      <c r="AO865" s="159"/>
      <c r="AP865" s="160"/>
      <c r="AQ865" s="160"/>
      <c r="AR865" s="160"/>
      <c r="AS865" s="159"/>
      <c r="AT865" s="159"/>
      <c r="AU865" s="161"/>
      <c r="AV865" s="157"/>
      <c r="AW865" s="157"/>
      <c r="AX865" s="157"/>
      <c r="AY865" s="157"/>
      <c r="AZ865" s="157"/>
      <c r="BA865" s="157"/>
      <c r="BB865" s="157"/>
      <c r="BC865" s="151"/>
      <c r="BD865" s="157"/>
      <c r="BE865" s="157"/>
      <c r="BF865" s="157"/>
      <c r="BG865" s="157"/>
      <c r="BH865" s="157"/>
      <c r="BI865" s="157"/>
      <c r="BJ865" s="353"/>
      <c r="BK865" s="353"/>
      <c r="BL865" s="353"/>
      <c r="BM865" s="14"/>
      <c r="BN865" s="14"/>
      <c r="BO865" s="14"/>
    </row>
    <row r="866" spans="1:67" ht="20.100000000000001" customHeight="1">
      <c r="A866" s="157"/>
      <c r="B866" s="1"/>
      <c r="C866" s="157"/>
      <c r="D866" s="1"/>
      <c r="E866" s="150"/>
      <c r="F866" s="150"/>
      <c r="G866" s="151"/>
      <c r="H866" s="150"/>
      <c r="I866" s="150"/>
      <c r="J866" s="151"/>
      <c r="K866" s="151"/>
      <c r="L866" s="150"/>
      <c r="M866" s="151"/>
      <c r="N866" s="151"/>
      <c r="O866" s="151"/>
      <c r="P866" s="150"/>
      <c r="Q866" s="150"/>
      <c r="R866" s="158"/>
      <c r="S866" s="158"/>
      <c r="T866" s="158"/>
      <c r="U866" s="158"/>
      <c r="V866" s="1"/>
      <c r="W866" s="1"/>
      <c r="X866" s="157"/>
      <c r="Y866" s="157"/>
      <c r="Z866" s="157"/>
      <c r="AA866" s="157"/>
      <c r="AB866" s="157"/>
      <c r="AC866" s="151"/>
      <c r="AD866" s="151"/>
      <c r="AE866" s="151"/>
      <c r="AF866" s="157"/>
      <c r="AG866" s="157"/>
      <c r="AH866" s="157"/>
      <c r="AI866" s="157"/>
      <c r="AJ866" s="157"/>
      <c r="AK866" s="157"/>
      <c r="AL866" s="157"/>
      <c r="AM866" s="157"/>
      <c r="AN866" s="159"/>
      <c r="AO866" s="159"/>
      <c r="AP866" s="160"/>
      <c r="AQ866" s="160"/>
      <c r="AR866" s="160"/>
      <c r="AS866" s="159"/>
      <c r="AT866" s="159"/>
      <c r="AU866" s="161"/>
      <c r="AV866" s="157"/>
      <c r="AW866" s="157"/>
      <c r="AX866" s="157"/>
      <c r="AY866" s="157"/>
      <c r="AZ866" s="157"/>
      <c r="BA866" s="157"/>
      <c r="BB866" s="157"/>
      <c r="BC866" s="151"/>
      <c r="BD866" s="157"/>
      <c r="BE866" s="157"/>
      <c r="BF866" s="157"/>
      <c r="BG866" s="157"/>
      <c r="BH866" s="157"/>
      <c r="BI866" s="157"/>
      <c r="BJ866" s="353"/>
      <c r="BK866" s="353"/>
      <c r="BL866" s="353"/>
      <c r="BM866" s="14"/>
      <c r="BN866" s="14"/>
      <c r="BO866" s="14"/>
    </row>
    <row r="867" spans="1:67" ht="20.100000000000001" customHeight="1">
      <c r="A867" s="157"/>
      <c r="B867" s="1"/>
      <c r="C867" s="157"/>
      <c r="D867" s="1"/>
      <c r="E867" s="150"/>
      <c r="F867" s="150"/>
      <c r="G867" s="151"/>
      <c r="H867" s="150"/>
      <c r="I867" s="150"/>
      <c r="J867" s="151"/>
      <c r="K867" s="151"/>
      <c r="L867" s="150"/>
      <c r="M867" s="151"/>
      <c r="N867" s="151"/>
      <c r="O867" s="151"/>
      <c r="P867" s="150"/>
      <c r="Q867" s="150"/>
      <c r="R867" s="158"/>
      <c r="S867" s="158"/>
      <c r="T867" s="158"/>
      <c r="U867" s="158"/>
      <c r="V867" s="1"/>
      <c r="W867" s="1"/>
      <c r="X867" s="157"/>
      <c r="Y867" s="157"/>
      <c r="Z867" s="157"/>
      <c r="AA867" s="157"/>
      <c r="AB867" s="157"/>
      <c r="AC867" s="151"/>
      <c r="AD867" s="151"/>
      <c r="AE867" s="151"/>
      <c r="AF867" s="157"/>
      <c r="AG867" s="157"/>
      <c r="AH867" s="157"/>
      <c r="AI867" s="157"/>
      <c r="AJ867" s="157"/>
      <c r="AK867" s="157"/>
      <c r="AL867" s="157"/>
      <c r="AM867" s="157"/>
      <c r="AN867" s="159"/>
      <c r="AO867" s="159"/>
      <c r="AP867" s="160"/>
      <c r="AQ867" s="160"/>
      <c r="AR867" s="160"/>
      <c r="AS867" s="159"/>
      <c r="AT867" s="159"/>
      <c r="AU867" s="161"/>
      <c r="AV867" s="157"/>
      <c r="AW867" s="157"/>
      <c r="AX867" s="157"/>
      <c r="AY867" s="157"/>
      <c r="AZ867" s="157"/>
      <c r="BA867" s="157"/>
      <c r="BB867" s="157"/>
      <c r="BC867" s="151"/>
      <c r="BD867" s="157"/>
      <c r="BE867" s="157"/>
      <c r="BF867" s="157"/>
      <c r="BG867" s="157"/>
      <c r="BH867" s="157"/>
      <c r="BI867" s="157"/>
      <c r="BJ867" s="353"/>
      <c r="BK867" s="353"/>
      <c r="BL867" s="353"/>
      <c r="BM867" s="14"/>
      <c r="BN867" s="14"/>
      <c r="BO867" s="14"/>
    </row>
    <row r="868" spans="1:67" ht="20.100000000000001" customHeight="1">
      <c r="A868" s="157"/>
      <c r="B868" s="1"/>
      <c r="C868" s="157"/>
      <c r="D868" s="1"/>
      <c r="E868" s="150"/>
      <c r="F868" s="150"/>
      <c r="G868" s="151"/>
      <c r="H868" s="150"/>
      <c r="I868" s="150"/>
      <c r="J868" s="151"/>
      <c r="K868" s="151"/>
      <c r="L868" s="150"/>
      <c r="M868" s="151"/>
      <c r="N868" s="151"/>
      <c r="O868" s="151"/>
      <c r="P868" s="150"/>
      <c r="Q868" s="150"/>
      <c r="R868" s="158"/>
      <c r="S868" s="158"/>
      <c r="T868" s="158"/>
      <c r="U868" s="158"/>
      <c r="V868" s="1"/>
      <c r="W868" s="1"/>
      <c r="X868" s="157"/>
      <c r="Y868" s="157"/>
      <c r="Z868" s="157"/>
      <c r="AA868" s="157"/>
      <c r="AB868" s="157"/>
      <c r="AC868" s="151"/>
      <c r="AD868" s="151"/>
      <c r="AE868" s="151"/>
      <c r="AF868" s="157"/>
      <c r="AG868" s="157"/>
      <c r="AH868" s="157"/>
      <c r="AI868" s="157"/>
      <c r="AJ868" s="157"/>
      <c r="AK868" s="157"/>
      <c r="AL868" s="157"/>
      <c r="AM868" s="157"/>
      <c r="AN868" s="159"/>
      <c r="AO868" s="159"/>
      <c r="AP868" s="160"/>
      <c r="AQ868" s="160"/>
      <c r="AR868" s="160"/>
      <c r="AS868" s="159"/>
      <c r="AT868" s="159"/>
      <c r="AU868" s="161"/>
      <c r="AV868" s="157"/>
      <c r="AW868" s="157"/>
      <c r="AX868" s="157"/>
      <c r="AY868" s="157"/>
      <c r="AZ868" s="157"/>
      <c r="BA868" s="157"/>
      <c r="BB868" s="157"/>
      <c r="BC868" s="151"/>
      <c r="BD868" s="157"/>
      <c r="BE868" s="157"/>
      <c r="BF868" s="157"/>
      <c r="BG868" s="157"/>
      <c r="BH868" s="157"/>
      <c r="BI868" s="157"/>
      <c r="BJ868" s="353"/>
      <c r="BK868" s="353"/>
      <c r="BL868" s="353"/>
      <c r="BM868" s="14"/>
      <c r="BN868" s="14"/>
      <c r="BO868" s="14"/>
    </row>
    <row r="869" spans="1:67" ht="20.100000000000001" customHeight="1">
      <c r="A869" s="157"/>
      <c r="B869" s="1"/>
      <c r="C869" s="157"/>
      <c r="D869" s="1"/>
      <c r="E869" s="150"/>
      <c r="F869" s="150"/>
      <c r="G869" s="151"/>
      <c r="H869" s="150"/>
      <c r="I869" s="150"/>
      <c r="J869" s="151"/>
      <c r="K869" s="151"/>
      <c r="L869" s="150"/>
      <c r="M869" s="151"/>
      <c r="N869" s="151"/>
      <c r="O869" s="151"/>
      <c r="P869" s="150"/>
      <c r="Q869" s="150"/>
      <c r="R869" s="158"/>
      <c r="S869" s="158"/>
      <c r="T869" s="158"/>
      <c r="U869" s="158"/>
      <c r="V869" s="1"/>
      <c r="W869" s="1"/>
      <c r="X869" s="157"/>
      <c r="Y869" s="157"/>
      <c r="Z869" s="157"/>
      <c r="AA869" s="157"/>
      <c r="AB869" s="157"/>
      <c r="AC869" s="151"/>
      <c r="AD869" s="151"/>
      <c r="AE869" s="151"/>
      <c r="AF869" s="157"/>
      <c r="AG869" s="157"/>
      <c r="AH869" s="157"/>
      <c r="AI869" s="157"/>
      <c r="AJ869" s="157"/>
      <c r="AK869" s="157"/>
      <c r="AL869" s="157"/>
      <c r="AM869" s="157"/>
      <c r="AN869" s="159"/>
      <c r="AO869" s="159"/>
      <c r="AP869" s="160"/>
      <c r="AQ869" s="160"/>
      <c r="AR869" s="160"/>
      <c r="AS869" s="159"/>
      <c r="AT869" s="159"/>
      <c r="AU869" s="161"/>
      <c r="AV869" s="157"/>
      <c r="AW869" s="157"/>
      <c r="AX869" s="157"/>
      <c r="AY869" s="157"/>
      <c r="AZ869" s="157"/>
      <c r="BA869" s="157"/>
      <c r="BB869" s="157"/>
      <c r="BC869" s="151"/>
      <c r="BD869" s="157"/>
      <c r="BE869" s="157"/>
      <c r="BF869" s="157"/>
      <c r="BG869" s="157"/>
      <c r="BH869" s="157"/>
      <c r="BI869" s="157"/>
      <c r="BJ869" s="353"/>
      <c r="BK869" s="353"/>
      <c r="BL869" s="353"/>
      <c r="BM869" s="14"/>
      <c r="BN869" s="14"/>
      <c r="BO869" s="14"/>
    </row>
    <row r="870" spans="1:67" ht="20.100000000000001" customHeight="1">
      <c r="A870" s="157"/>
      <c r="B870" s="1"/>
      <c r="C870" s="157"/>
      <c r="D870" s="1"/>
      <c r="E870" s="150"/>
      <c r="F870" s="150"/>
      <c r="G870" s="151"/>
      <c r="H870" s="150"/>
      <c r="I870" s="150"/>
      <c r="J870" s="151"/>
      <c r="K870" s="151"/>
      <c r="L870" s="150"/>
      <c r="M870" s="151"/>
      <c r="N870" s="151"/>
      <c r="O870" s="151"/>
      <c r="P870" s="150"/>
      <c r="Q870" s="150"/>
      <c r="R870" s="158"/>
      <c r="S870" s="158"/>
      <c r="T870" s="158"/>
      <c r="U870" s="158"/>
      <c r="V870" s="1"/>
      <c r="W870" s="1"/>
      <c r="X870" s="157"/>
      <c r="Y870" s="157"/>
      <c r="Z870" s="157"/>
      <c r="AA870" s="157"/>
      <c r="AB870" s="157"/>
      <c r="AC870" s="151"/>
      <c r="AD870" s="151"/>
      <c r="AE870" s="151"/>
      <c r="AF870" s="157"/>
      <c r="AG870" s="157"/>
      <c r="AH870" s="157"/>
      <c r="AI870" s="157"/>
      <c r="AJ870" s="157"/>
      <c r="AK870" s="157"/>
      <c r="AL870" s="157"/>
      <c r="AM870" s="157"/>
      <c r="AN870" s="159"/>
      <c r="AO870" s="159"/>
      <c r="AP870" s="160"/>
      <c r="AQ870" s="160"/>
      <c r="AR870" s="160"/>
      <c r="AS870" s="159"/>
      <c r="AT870" s="159"/>
      <c r="AU870" s="161"/>
      <c r="AV870" s="157"/>
      <c r="AW870" s="157"/>
      <c r="AX870" s="157"/>
      <c r="AY870" s="157"/>
      <c r="AZ870" s="157"/>
      <c r="BA870" s="157"/>
      <c r="BB870" s="157"/>
      <c r="BC870" s="151"/>
      <c r="BD870" s="157"/>
      <c r="BE870" s="157"/>
      <c r="BF870" s="157"/>
      <c r="BG870" s="157"/>
      <c r="BH870" s="157"/>
      <c r="BI870" s="157"/>
      <c r="BJ870" s="353"/>
      <c r="BK870" s="353"/>
      <c r="BL870" s="353"/>
      <c r="BM870" s="14"/>
      <c r="BN870" s="14"/>
      <c r="BO870" s="14"/>
    </row>
    <row r="871" spans="1:67" ht="20.100000000000001" customHeight="1">
      <c r="A871" s="157"/>
      <c r="B871" s="1"/>
      <c r="C871" s="157"/>
      <c r="D871" s="1"/>
      <c r="E871" s="150"/>
      <c r="F871" s="150"/>
      <c r="G871" s="151"/>
      <c r="H871" s="150"/>
      <c r="I871" s="150"/>
      <c r="J871" s="151"/>
      <c r="K871" s="151"/>
      <c r="L871" s="150"/>
      <c r="M871" s="151"/>
      <c r="N871" s="151"/>
      <c r="O871" s="151"/>
      <c r="P871" s="150"/>
      <c r="Q871" s="150"/>
      <c r="R871" s="158"/>
      <c r="S871" s="158"/>
      <c r="T871" s="158"/>
      <c r="U871" s="158"/>
      <c r="V871" s="1"/>
      <c r="W871" s="1"/>
      <c r="X871" s="157"/>
      <c r="Y871" s="157"/>
      <c r="Z871" s="157"/>
      <c r="AA871" s="157"/>
      <c r="AB871" s="157"/>
      <c r="AC871" s="151"/>
      <c r="AD871" s="151"/>
      <c r="AE871" s="151"/>
      <c r="AF871" s="157"/>
      <c r="AG871" s="157"/>
      <c r="AH871" s="157"/>
      <c r="AI871" s="157"/>
      <c r="AJ871" s="157"/>
      <c r="AK871" s="157"/>
      <c r="AL871" s="157"/>
      <c r="AM871" s="157"/>
      <c r="AN871" s="159"/>
      <c r="AO871" s="159"/>
      <c r="AP871" s="160"/>
      <c r="AQ871" s="160"/>
      <c r="AR871" s="160"/>
      <c r="AS871" s="159"/>
      <c r="AT871" s="159"/>
      <c r="AU871" s="161"/>
      <c r="AV871" s="157"/>
      <c r="AW871" s="157"/>
      <c r="AX871" s="157"/>
      <c r="AY871" s="157"/>
      <c r="AZ871" s="157"/>
      <c r="BA871" s="157"/>
      <c r="BB871" s="157"/>
      <c r="BC871" s="151"/>
      <c r="BD871" s="157"/>
      <c r="BE871" s="157"/>
      <c r="BF871" s="157"/>
      <c r="BG871" s="157"/>
      <c r="BH871" s="157"/>
      <c r="BI871" s="157"/>
      <c r="BJ871" s="353"/>
      <c r="BK871" s="353"/>
      <c r="BL871" s="353"/>
      <c r="BM871" s="14"/>
      <c r="BN871" s="14"/>
      <c r="BO871" s="14"/>
    </row>
    <row r="872" spans="1:67" ht="20.100000000000001" customHeight="1">
      <c r="A872" s="157"/>
      <c r="B872" s="1"/>
      <c r="C872" s="157"/>
      <c r="D872" s="1"/>
      <c r="E872" s="150"/>
      <c r="F872" s="150"/>
      <c r="G872" s="151"/>
      <c r="H872" s="150"/>
      <c r="I872" s="150"/>
      <c r="J872" s="151"/>
      <c r="K872" s="151"/>
      <c r="L872" s="150"/>
      <c r="M872" s="151"/>
      <c r="N872" s="151"/>
      <c r="O872" s="151"/>
      <c r="P872" s="150"/>
      <c r="Q872" s="150"/>
      <c r="R872" s="158"/>
      <c r="S872" s="158"/>
      <c r="T872" s="158"/>
      <c r="U872" s="158"/>
      <c r="V872" s="1"/>
      <c r="W872" s="1"/>
      <c r="X872" s="157"/>
      <c r="Y872" s="157"/>
      <c r="Z872" s="157"/>
      <c r="AA872" s="157"/>
      <c r="AB872" s="157"/>
      <c r="AC872" s="151"/>
      <c r="AD872" s="151"/>
      <c r="AE872" s="151"/>
      <c r="AF872" s="157"/>
      <c r="AG872" s="157"/>
      <c r="AH872" s="157"/>
      <c r="AI872" s="157"/>
      <c r="AJ872" s="157"/>
      <c r="AK872" s="157"/>
      <c r="AL872" s="157"/>
      <c r="AM872" s="157"/>
      <c r="AN872" s="159"/>
      <c r="AO872" s="159"/>
      <c r="AP872" s="160"/>
      <c r="AQ872" s="160"/>
      <c r="AR872" s="160"/>
      <c r="AS872" s="159"/>
      <c r="AT872" s="159"/>
      <c r="AU872" s="161"/>
      <c r="AV872" s="157"/>
      <c r="AW872" s="157"/>
      <c r="AX872" s="157"/>
      <c r="AY872" s="157"/>
      <c r="AZ872" s="157"/>
      <c r="BA872" s="157"/>
      <c r="BB872" s="157"/>
      <c r="BC872" s="151"/>
      <c r="BD872" s="157"/>
      <c r="BE872" s="157"/>
      <c r="BF872" s="157"/>
      <c r="BG872" s="157"/>
      <c r="BH872" s="157"/>
      <c r="BI872" s="157"/>
      <c r="BJ872" s="353"/>
      <c r="BK872" s="353"/>
      <c r="BL872" s="353"/>
      <c r="BM872" s="14"/>
      <c r="BN872" s="14"/>
      <c r="BO872" s="14"/>
    </row>
    <row r="873" spans="1:67" ht="20.100000000000001" customHeight="1">
      <c r="A873" s="157"/>
      <c r="B873" s="1"/>
      <c r="C873" s="157"/>
      <c r="D873" s="1"/>
      <c r="E873" s="150"/>
      <c r="F873" s="150"/>
      <c r="G873" s="151"/>
      <c r="H873" s="150"/>
      <c r="I873" s="150"/>
      <c r="J873" s="151"/>
      <c r="K873" s="151"/>
      <c r="L873" s="150"/>
      <c r="M873" s="151"/>
      <c r="N873" s="151"/>
      <c r="O873" s="151"/>
      <c r="P873" s="150"/>
      <c r="Q873" s="150"/>
      <c r="R873" s="158"/>
      <c r="S873" s="158"/>
      <c r="T873" s="158"/>
      <c r="U873" s="158"/>
      <c r="V873" s="1"/>
      <c r="W873" s="1"/>
      <c r="X873" s="157"/>
      <c r="Y873" s="157"/>
      <c r="Z873" s="157"/>
      <c r="AA873" s="157"/>
      <c r="AB873" s="157"/>
      <c r="AC873" s="151"/>
      <c r="AD873" s="151"/>
      <c r="AE873" s="151"/>
      <c r="AF873" s="157"/>
      <c r="AG873" s="157"/>
      <c r="AH873" s="157"/>
      <c r="AI873" s="157"/>
      <c r="AJ873" s="157"/>
      <c r="AK873" s="157"/>
      <c r="AL873" s="157"/>
      <c r="AM873" s="157"/>
      <c r="AN873" s="159"/>
      <c r="AO873" s="159"/>
      <c r="AP873" s="160"/>
      <c r="AQ873" s="160"/>
      <c r="AR873" s="160"/>
      <c r="AS873" s="159"/>
      <c r="AT873" s="159"/>
      <c r="AU873" s="161"/>
      <c r="AV873" s="157"/>
      <c r="AW873" s="157"/>
      <c r="AX873" s="157"/>
      <c r="AY873" s="157"/>
      <c r="AZ873" s="157"/>
      <c r="BA873" s="157"/>
      <c r="BB873" s="157"/>
      <c r="BC873" s="151"/>
      <c r="BD873" s="157"/>
      <c r="BE873" s="157"/>
      <c r="BF873" s="157"/>
      <c r="BG873" s="157"/>
      <c r="BH873" s="157"/>
      <c r="BI873" s="157"/>
      <c r="BJ873" s="353"/>
      <c r="BK873" s="353"/>
      <c r="BL873" s="353"/>
      <c r="BM873" s="14"/>
      <c r="BN873" s="14"/>
      <c r="BO873" s="14"/>
    </row>
    <row r="874" spans="1:67" ht="20.100000000000001" customHeight="1">
      <c r="A874" s="157"/>
      <c r="B874" s="1"/>
      <c r="C874" s="157"/>
      <c r="D874" s="1"/>
      <c r="E874" s="150"/>
      <c r="F874" s="150"/>
      <c r="G874" s="151"/>
      <c r="H874" s="150"/>
      <c r="I874" s="150"/>
      <c r="J874" s="151"/>
      <c r="K874" s="151"/>
      <c r="L874" s="150"/>
      <c r="M874" s="151"/>
      <c r="N874" s="151"/>
      <c r="O874" s="151"/>
      <c r="P874" s="150"/>
      <c r="Q874" s="150"/>
      <c r="R874" s="158"/>
      <c r="S874" s="158"/>
      <c r="T874" s="158"/>
      <c r="U874" s="158"/>
      <c r="V874" s="1"/>
      <c r="W874" s="1"/>
      <c r="X874" s="157"/>
      <c r="Y874" s="157"/>
      <c r="Z874" s="157"/>
      <c r="AA874" s="157"/>
      <c r="AB874" s="157"/>
      <c r="AC874" s="151"/>
      <c r="AD874" s="151"/>
      <c r="AE874" s="151"/>
      <c r="AF874" s="157"/>
      <c r="AG874" s="157"/>
      <c r="AH874" s="157"/>
      <c r="AI874" s="157"/>
      <c r="AJ874" s="157"/>
      <c r="AK874" s="157"/>
      <c r="AL874" s="157"/>
      <c r="AM874" s="157"/>
      <c r="AN874" s="159"/>
      <c r="AO874" s="159"/>
      <c r="AP874" s="160"/>
      <c r="AQ874" s="160"/>
      <c r="AR874" s="160"/>
      <c r="AS874" s="159"/>
      <c r="AT874" s="159"/>
      <c r="AU874" s="161"/>
      <c r="AV874" s="157"/>
      <c r="AW874" s="157"/>
      <c r="AX874" s="157"/>
      <c r="AY874" s="157"/>
      <c r="AZ874" s="157"/>
      <c r="BA874" s="157"/>
      <c r="BB874" s="157"/>
      <c r="BC874" s="151"/>
      <c r="BD874" s="157"/>
      <c r="BE874" s="157"/>
      <c r="BF874" s="157"/>
      <c r="BG874" s="157"/>
      <c r="BH874" s="157"/>
      <c r="BI874" s="157"/>
      <c r="BJ874" s="353"/>
      <c r="BK874" s="353"/>
      <c r="BL874" s="353"/>
      <c r="BM874" s="14"/>
      <c r="BN874" s="14"/>
      <c r="BO874" s="14"/>
    </row>
    <row r="875" spans="1:67" ht="20.100000000000001" customHeight="1">
      <c r="A875" s="157"/>
      <c r="B875" s="1"/>
      <c r="C875" s="157"/>
      <c r="D875" s="1"/>
      <c r="E875" s="150"/>
      <c r="F875" s="150"/>
      <c r="G875" s="151"/>
      <c r="H875" s="150"/>
      <c r="I875" s="150"/>
      <c r="J875" s="151"/>
      <c r="K875" s="151"/>
      <c r="L875" s="150"/>
      <c r="M875" s="151"/>
      <c r="N875" s="151"/>
      <c r="O875" s="151"/>
      <c r="P875" s="150"/>
      <c r="Q875" s="150"/>
      <c r="R875" s="158"/>
      <c r="S875" s="158"/>
      <c r="T875" s="158"/>
      <c r="U875" s="158"/>
      <c r="V875" s="1"/>
      <c r="W875" s="1"/>
      <c r="X875" s="157"/>
      <c r="Y875" s="157"/>
      <c r="Z875" s="157"/>
      <c r="AA875" s="157"/>
      <c r="AB875" s="157"/>
      <c r="AC875" s="151"/>
      <c r="AD875" s="151"/>
      <c r="AE875" s="151"/>
      <c r="AF875" s="157"/>
      <c r="AG875" s="157"/>
      <c r="AH875" s="157"/>
      <c r="AI875" s="157"/>
      <c r="AJ875" s="157"/>
      <c r="AK875" s="157"/>
      <c r="AL875" s="157"/>
      <c r="AM875" s="157"/>
      <c r="AN875" s="159"/>
      <c r="AO875" s="159"/>
      <c r="AP875" s="160"/>
      <c r="AQ875" s="160"/>
      <c r="AR875" s="160"/>
      <c r="AS875" s="159"/>
      <c r="AT875" s="159"/>
      <c r="AU875" s="161"/>
      <c r="AV875" s="157"/>
      <c r="AW875" s="157"/>
      <c r="AX875" s="157"/>
      <c r="AY875" s="157"/>
      <c r="AZ875" s="157"/>
      <c r="BA875" s="157"/>
      <c r="BB875" s="157"/>
      <c r="BC875" s="151"/>
      <c r="BD875" s="157"/>
      <c r="BE875" s="157"/>
      <c r="BF875" s="157"/>
      <c r="BG875" s="157"/>
      <c r="BH875" s="157"/>
      <c r="BI875" s="157"/>
      <c r="BJ875" s="353"/>
      <c r="BK875" s="353"/>
      <c r="BL875" s="353"/>
      <c r="BM875" s="14"/>
      <c r="BN875" s="14"/>
      <c r="BO875" s="14"/>
    </row>
    <row r="876" spans="1:67" ht="20.100000000000001" customHeight="1">
      <c r="A876" s="157"/>
      <c r="B876" s="1"/>
      <c r="C876" s="157"/>
      <c r="D876" s="1"/>
      <c r="E876" s="150"/>
      <c r="F876" s="150"/>
      <c r="G876" s="151"/>
      <c r="H876" s="150"/>
      <c r="I876" s="150"/>
      <c r="J876" s="151"/>
      <c r="K876" s="151"/>
      <c r="L876" s="150"/>
      <c r="M876" s="151"/>
      <c r="N876" s="151"/>
      <c r="O876" s="151"/>
      <c r="P876" s="150"/>
      <c r="Q876" s="150"/>
      <c r="R876" s="158"/>
      <c r="S876" s="158"/>
      <c r="T876" s="158"/>
      <c r="U876" s="158"/>
      <c r="V876" s="1"/>
      <c r="W876" s="1"/>
      <c r="X876" s="157"/>
      <c r="Y876" s="157"/>
      <c r="Z876" s="157"/>
      <c r="AA876" s="157"/>
      <c r="AB876" s="157"/>
      <c r="AC876" s="151"/>
      <c r="AD876" s="151"/>
      <c r="AE876" s="151"/>
      <c r="AF876" s="157"/>
      <c r="AG876" s="157"/>
      <c r="AH876" s="157"/>
      <c r="AI876" s="157"/>
      <c r="AJ876" s="157"/>
      <c r="AK876" s="157"/>
      <c r="AL876" s="157"/>
      <c r="AM876" s="157"/>
      <c r="AN876" s="159"/>
      <c r="AO876" s="159"/>
      <c r="AP876" s="160"/>
      <c r="AQ876" s="160"/>
      <c r="AR876" s="160"/>
      <c r="AS876" s="159"/>
      <c r="AT876" s="159"/>
      <c r="AU876" s="161"/>
      <c r="AV876" s="157"/>
      <c r="AW876" s="157"/>
      <c r="AX876" s="157"/>
      <c r="AY876" s="157"/>
      <c r="AZ876" s="157"/>
      <c r="BA876" s="157"/>
      <c r="BB876" s="157"/>
      <c r="BC876" s="151"/>
      <c r="BD876" s="157"/>
      <c r="BE876" s="157"/>
      <c r="BF876" s="157"/>
      <c r="BG876" s="157"/>
      <c r="BH876" s="157"/>
      <c r="BI876" s="157"/>
      <c r="BJ876" s="353"/>
      <c r="BK876" s="353"/>
      <c r="BL876" s="353"/>
      <c r="BM876" s="14"/>
      <c r="BN876" s="14"/>
      <c r="BO876" s="14"/>
    </row>
    <row r="877" spans="1:67" ht="20.100000000000001" customHeight="1">
      <c r="A877" s="157"/>
      <c r="B877" s="1"/>
      <c r="C877" s="157"/>
      <c r="D877" s="1"/>
      <c r="E877" s="150"/>
      <c r="F877" s="150"/>
      <c r="G877" s="151"/>
      <c r="H877" s="150"/>
      <c r="I877" s="150"/>
      <c r="J877" s="151"/>
      <c r="K877" s="151"/>
      <c r="L877" s="150"/>
      <c r="M877" s="151"/>
      <c r="N877" s="151"/>
      <c r="O877" s="151"/>
      <c r="P877" s="150"/>
      <c r="Q877" s="150"/>
      <c r="R877" s="158"/>
      <c r="S877" s="158"/>
      <c r="T877" s="158"/>
      <c r="U877" s="158"/>
      <c r="V877" s="1"/>
      <c r="W877" s="1"/>
      <c r="X877" s="157"/>
      <c r="Y877" s="157"/>
      <c r="Z877" s="157"/>
      <c r="AA877" s="157"/>
      <c r="AB877" s="157"/>
      <c r="AC877" s="151"/>
      <c r="AD877" s="151"/>
      <c r="AE877" s="151"/>
      <c r="AF877" s="157"/>
      <c r="AG877" s="157"/>
      <c r="AH877" s="157"/>
      <c r="AI877" s="157"/>
      <c r="AJ877" s="157"/>
      <c r="AK877" s="157"/>
      <c r="AL877" s="157"/>
      <c r="AM877" s="157"/>
      <c r="AN877" s="159"/>
      <c r="AO877" s="159"/>
      <c r="AP877" s="160"/>
      <c r="AQ877" s="160"/>
      <c r="AR877" s="160"/>
      <c r="AS877" s="159"/>
      <c r="AT877" s="159"/>
      <c r="AU877" s="161"/>
      <c r="AV877" s="157"/>
      <c r="AW877" s="157"/>
      <c r="AX877" s="157"/>
      <c r="AY877" s="157"/>
      <c r="AZ877" s="157"/>
      <c r="BA877" s="157"/>
      <c r="BB877" s="157"/>
      <c r="BC877" s="151"/>
      <c r="BD877" s="157"/>
      <c r="BE877" s="157"/>
      <c r="BF877" s="157"/>
      <c r="BG877" s="157"/>
      <c r="BH877" s="157"/>
      <c r="BI877" s="157"/>
      <c r="BJ877" s="353"/>
      <c r="BK877" s="353"/>
      <c r="BL877" s="353"/>
      <c r="BM877" s="14"/>
      <c r="BN877" s="14"/>
      <c r="BO877" s="14"/>
    </row>
    <row r="878" spans="1:67" ht="20.100000000000001" customHeight="1">
      <c r="A878" s="157"/>
      <c r="B878" s="1"/>
      <c r="C878" s="157"/>
      <c r="D878" s="1"/>
      <c r="E878" s="150"/>
      <c r="F878" s="150"/>
      <c r="G878" s="151"/>
      <c r="H878" s="150"/>
      <c r="I878" s="150"/>
      <c r="J878" s="151"/>
      <c r="K878" s="151"/>
      <c r="L878" s="150"/>
      <c r="M878" s="151"/>
      <c r="N878" s="151"/>
      <c r="O878" s="151"/>
      <c r="P878" s="150"/>
      <c r="Q878" s="150"/>
      <c r="R878" s="158"/>
      <c r="S878" s="158"/>
      <c r="T878" s="158"/>
      <c r="U878" s="158"/>
      <c r="V878" s="1"/>
      <c r="W878" s="1"/>
      <c r="X878" s="157"/>
      <c r="Y878" s="157"/>
      <c r="Z878" s="157"/>
      <c r="AA878" s="157"/>
      <c r="AB878" s="157"/>
      <c r="AC878" s="151"/>
      <c r="AD878" s="151"/>
      <c r="AE878" s="151"/>
      <c r="AF878" s="157"/>
      <c r="AG878" s="157"/>
      <c r="AH878" s="157"/>
      <c r="AI878" s="157"/>
      <c r="AJ878" s="157"/>
      <c r="AK878" s="157"/>
      <c r="AL878" s="157"/>
      <c r="AM878" s="157"/>
      <c r="AN878" s="159"/>
      <c r="AO878" s="159"/>
      <c r="AP878" s="160"/>
      <c r="AQ878" s="160"/>
      <c r="AR878" s="160"/>
      <c r="AS878" s="159"/>
      <c r="AT878" s="159"/>
      <c r="AU878" s="161"/>
      <c r="AV878" s="157"/>
      <c r="AW878" s="157"/>
      <c r="AX878" s="157"/>
      <c r="AY878" s="157"/>
      <c r="AZ878" s="157"/>
      <c r="BA878" s="157"/>
      <c r="BB878" s="157"/>
      <c r="BC878" s="151"/>
      <c r="BD878" s="157"/>
      <c r="BE878" s="157"/>
      <c r="BF878" s="157"/>
      <c r="BG878" s="157"/>
      <c r="BH878" s="157"/>
      <c r="BI878" s="157"/>
      <c r="BJ878" s="353"/>
      <c r="BK878" s="353"/>
      <c r="BL878" s="353"/>
      <c r="BM878" s="14"/>
      <c r="BN878" s="14"/>
      <c r="BO878" s="14"/>
    </row>
    <row r="879" spans="1:67" ht="20.100000000000001" customHeight="1">
      <c r="A879" s="157"/>
      <c r="B879" s="1"/>
      <c r="C879" s="157"/>
      <c r="D879" s="1"/>
      <c r="E879" s="150"/>
      <c r="F879" s="150"/>
      <c r="G879" s="151"/>
      <c r="H879" s="150"/>
      <c r="I879" s="150"/>
      <c r="J879" s="151"/>
      <c r="K879" s="151"/>
      <c r="L879" s="150"/>
      <c r="M879" s="151"/>
      <c r="N879" s="151"/>
      <c r="O879" s="151"/>
      <c r="P879" s="150"/>
      <c r="Q879" s="150"/>
      <c r="R879" s="158"/>
      <c r="S879" s="158"/>
      <c r="T879" s="158"/>
      <c r="U879" s="158"/>
      <c r="V879" s="1"/>
      <c r="W879" s="1"/>
      <c r="X879" s="157"/>
      <c r="Y879" s="157"/>
      <c r="Z879" s="157"/>
      <c r="AA879" s="157"/>
      <c r="AB879" s="157"/>
      <c r="AC879" s="151"/>
      <c r="AD879" s="151"/>
      <c r="AE879" s="151"/>
      <c r="AF879" s="157"/>
      <c r="AG879" s="157"/>
      <c r="AH879" s="157"/>
      <c r="AI879" s="157"/>
      <c r="AJ879" s="157"/>
      <c r="AK879" s="157"/>
      <c r="AL879" s="157"/>
      <c r="AM879" s="157"/>
      <c r="AN879" s="159"/>
      <c r="AO879" s="159"/>
      <c r="AP879" s="160"/>
      <c r="AQ879" s="160"/>
      <c r="AR879" s="160"/>
      <c r="AS879" s="159"/>
      <c r="AT879" s="159"/>
      <c r="AU879" s="161"/>
      <c r="AV879" s="157"/>
      <c r="AW879" s="157"/>
      <c r="AX879" s="157"/>
      <c r="AY879" s="157"/>
      <c r="AZ879" s="157"/>
      <c r="BA879" s="157"/>
      <c r="BB879" s="157"/>
      <c r="BC879" s="151"/>
      <c r="BD879" s="157"/>
      <c r="BE879" s="157"/>
      <c r="BF879" s="157"/>
      <c r="BG879" s="157"/>
      <c r="BH879" s="157"/>
      <c r="BI879" s="157"/>
      <c r="BJ879" s="353"/>
      <c r="BK879" s="353"/>
      <c r="BL879" s="353"/>
      <c r="BM879" s="14"/>
      <c r="BN879" s="14"/>
      <c r="BO879" s="14"/>
    </row>
    <row r="880" spans="1:67" ht="20.100000000000001" customHeight="1">
      <c r="A880" s="157"/>
      <c r="B880" s="1"/>
      <c r="C880" s="157"/>
      <c r="D880" s="1"/>
      <c r="E880" s="150"/>
      <c r="F880" s="150"/>
      <c r="G880" s="151"/>
      <c r="H880" s="150"/>
      <c r="I880" s="150"/>
      <c r="J880" s="151"/>
      <c r="K880" s="151"/>
      <c r="L880" s="150"/>
      <c r="M880" s="151"/>
      <c r="N880" s="151"/>
      <c r="O880" s="151"/>
      <c r="P880" s="150"/>
      <c r="Q880" s="150"/>
      <c r="R880" s="158"/>
      <c r="S880" s="158"/>
      <c r="T880" s="158"/>
      <c r="U880" s="158"/>
      <c r="V880" s="1"/>
      <c r="W880" s="1"/>
      <c r="X880" s="157"/>
      <c r="Y880" s="157"/>
      <c r="Z880" s="157"/>
      <c r="AA880" s="157"/>
      <c r="AB880" s="157"/>
      <c r="AC880" s="151"/>
      <c r="AD880" s="151"/>
      <c r="AE880" s="151"/>
      <c r="AF880" s="157"/>
      <c r="AG880" s="157"/>
      <c r="AH880" s="157"/>
      <c r="AI880" s="157"/>
      <c r="AJ880" s="157"/>
      <c r="AK880" s="157"/>
      <c r="AL880" s="157"/>
      <c r="AM880" s="157"/>
      <c r="AN880" s="159"/>
      <c r="AO880" s="159"/>
      <c r="AP880" s="160"/>
      <c r="AQ880" s="160"/>
      <c r="AR880" s="160"/>
      <c r="AS880" s="159"/>
      <c r="AT880" s="159"/>
      <c r="AU880" s="161"/>
      <c r="AV880" s="157"/>
      <c r="AW880" s="157"/>
      <c r="AX880" s="157"/>
      <c r="AY880" s="157"/>
      <c r="AZ880" s="157"/>
      <c r="BA880" s="157"/>
      <c r="BB880" s="157"/>
      <c r="BC880" s="151"/>
      <c r="BD880" s="157"/>
      <c r="BE880" s="157"/>
      <c r="BF880" s="157"/>
      <c r="BG880" s="157"/>
      <c r="BH880" s="157"/>
      <c r="BI880" s="157"/>
      <c r="BJ880" s="353"/>
      <c r="BK880" s="353"/>
      <c r="BL880" s="353"/>
      <c r="BM880" s="14"/>
      <c r="BN880" s="14"/>
      <c r="BO880" s="14"/>
    </row>
    <row r="881" spans="1:67" ht="20.100000000000001" customHeight="1">
      <c r="A881" s="157"/>
      <c r="B881" s="1"/>
      <c r="C881" s="157"/>
      <c r="D881" s="1"/>
      <c r="E881" s="150"/>
      <c r="F881" s="150"/>
      <c r="G881" s="151"/>
      <c r="H881" s="150"/>
      <c r="I881" s="150"/>
      <c r="J881" s="151"/>
      <c r="K881" s="151"/>
      <c r="L881" s="150"/>
      <c r="M881" s="151"/>
      <c r="N881" s="151"/>
      <c r="O881" s="151"/>
      <c r="P881" s="150"/>
      <c r="Q881" s="150"/>
      <c r="R881" s="158"/>
      <c r="S881" s="158"/>
      <c r="T881" s="158"/>
      <c r="U881" s="158"/>
      <c r="V881" s="1"/>
      <c r="W881" s="1"/>
      <c r="X881" s="157"/>
      <c r="Y881" s="157"/>
      <c r="Z881" s="157"/>
      <c r="AA881" s="157"/>
      <c r="AB881" s="157"/>
      <c r="AC881" s="151"/>
      <c r="AD881" s="151"/>
      <c r="AE881" s="151"/>
      <c r="AF881" s="157"/>
      <c r="AG881" s="157"/>
      <c r="AH881" s="157"/>
      <c r="AI881" s="157"/>
      <c r="AJ881" s="157"/>
      <c r="AK881" s="157"/>
      <c r="AL881" s="157"/>
      <c r="AM881" s="157"/>
      <c r="AN881" s="159"/>
      <c r="AO881" s="159"/>
      <c r="AP881" s="160"/>
      <c r="AQ881" s="160"/>
      <c r="AR881" s="160"/>
      <c r="AS881" s="159"/>
      <c r="AT881" s="159"/>
      <c r="AU881" s="161"/>
      <c r="AV881" s="157"/>
      <c r="AW881" s="157"/>
      <c r="AX881" s="157"/>
      <c r="AY881" s="157"/>
      <c r="AZ881" s="157"/>
      <c r="BA881" s="157"/>
      <c r="BB881" s="157"/>
      <c r="BC881" s="151"/>
      <c r="BD881" s="157"/>
      <c r="BE881" s="157"/>
      <c r="BF881" s="157"/>
      <c r="BG881" s="157"/>
      <c r="BH881" s="157"/>
      <c r="BI881" s="157"/>
      <c r="BJ881" s="353"/>
      <c r="BK881" s="353"/>
      <c r="BL881" s="353"/>
      <c r="BM881" s="14"/>
      <c r="BN881" s="14"/>
      <c r="BO881" s="14"/>
    </row>
    <row r="882" spans="1:67" ht="20.100000000000001" customHeight="1">
      <c r="A882" s="157"/>
      <c r="B882" s="1"/>
      <c r="C882" s="157"/>
      <c r="D882" s="1"/>
      <c r="E882" s="150"/>
      <c r="F882" s="150"/>
      <c r="G882" s="151"/>
      <c r="H882" s="150"/>
      <c r="I882" s="150"/>
      <c r="J882" s="151"/>
      <c r="K882" s="151"/>
      <c r="L882" s="150"/>
      <c r="M882" s="151"/>
      <c r="N882" s="151"/>
      <c r="O882" s="151"/>
      <c r="P882" s="150"/>
      <c r="Q882" s="150"/>
      <c r="R882" s="158"/>
      <c r="S882" s="158"/>
      <c r="T882" s="158"/>
      <c r="U882" s="158"/>
      <c r="V882" s="1"/>
      <c r="W882" s="1"/>
      <c r="X882" s="157"/>
      <c r="Y882" s="157"/>
      <c r="Z882" s="157"/>
      <c r="AA882" s="157"/>
      <c r="AB882" s="157"/>
      <c r="AC882" s="151"/>
      <c r="AD882" s="151"/>
      <c r="AE882" s="151"/>
      <c r="AF882" s="157"/>
      <c r="AG882" s="157"/>
      <c r="AH882" s="157"/>
      <c r="AI882" s="157"/>
      <c r="AJ882" s="157"/>
      <c r="AK882" s="157"/>
      <c r="AL882" s="157"/>
      <c r="AM882" s="157"/>
      <c r="AN882" s="159"/>
      <c r="AO882" s="159"/>
      <c r="AP882" s="160"/>
      <c r="AQ882" s="160"/>
      <c r="AR882" s="160"/>
      <c r="AS882" s="159"/>
      <c r="AT882" s="159"/>
      <c r="AU882" s="161"/>
      <c r="AV882" s="157"/>
      <c r="AW882" s="157"/>
      <c r="AX882" s="157"/>
      <c r="AY882" s="157"/>
      <c r="AZ882" s="157"/>
      <c r="BA882" s="157"/>
      <c r="BB882" s="157"/>
      <c r="BC882" s="151"/>
      <c r="BD882" s="157"/>
      <c r="BE882" s="157"/>
      <c r="BF882" s="157"/>
      <c r="BG882" s="157"/>
      <c r="BH882" s="157"/>
      <c r="BI882" s="157"/>
      <c r="BJ882" s="353"/>
      <c r="BK882" s="353"/>
      <c r="BL882" s="353"/>
      <c r="BM882" s="14"/>
      <c r="BN882" s="14"/>
      <c r="BO882" s="14"/>
    </row>
    <row r="883" spans="1:67" ht="20.100000000000001" customHeight="1">
      <c r="A883" s="157"/>
      <c r="B883" s="1"/>
      <c r="C883" s="157"/>
      <c r="D883" s="1"/>
      <c r="E883" s="150"/>
      <c r="F883" s="150"/>
      <c r="G883" s="151"/>
      <c r="H883" s="150"/>
      <c r="I883" s="150"/>
      <c r="J883" s="151"/>
      <c r="K883" s="151"/>
      <c r="L883" s="150"/>
      <c r="M883" s="151"/>
      <c r="N883" s="151"/>
      <c r="O883" s="151"/>
      <c r="P883" s="150"/>
      <c r="Q883" s="150"/>
      <c r="R883" s="158"/>
      <c r="S883" s="158"/>
      <c r="T883" s="158"/>
      <c r="U883" s="158"/>
      <c r="V883" s="1"/>
      <c r="W883" s="1"/>
      <c r="X883" s="157"/>
      <c r="Y883" s="157"/>
      <c r="Z883" s="157"/>
      <c r="AA883" s="157"/>
      <c r="AB883" s="157"/>
      <c r="AC883" s="151"/>
      <c r="AD883" s="151"/>
      <c r="AE883" s="151"/>
      <c r="AF883" s="157"/>
      <c r="AG883" s="157"/>
      <c r="AH883" s="157"/>
      <c r="AI883" s="157"/>
      <c r="AJ883" s="157"/>
      <c r="AK883" s="157"/>
      <c r="AL883" s="157"/>
      <c r="AM883" s="157"/>
      <c r="AN883" s="159"/>
      <c r="AO883" s="159"/>
      <c r="AP883" s="160"/>
      <c r="AQ883" s="160"/>
      <c r="AR883" s="160"/>
      <c r="AS883" s="159"/>
      <c r="AT883" s="159"/>
      <c r="AU883" s="161"/>
      <c r="AV883" s="157"/>
      <c r="AW883" s="157"/>
      <c r="AX883" s="157"/>
      <c r="AY883" s="157"/>
      <c r="AZ883" s="157"/>
      <c r="BA883" s="157"/>
      <c r="BB883" s="157"/>
      <c r="BC883" s="151"/>
      <c r="BD883" s="157"/>
      <c r="BE883" s="157"/>
      <c r="BF883" s="157"/>
      <c r="BG883" s="157"/>
      <c r="BH883" s="157"/>
      <c r="BI883" s="157"/>
      <c r="BJ883" s="353"/>
      <c r="BK883" s="353"/>
      <c r="BL883" s="353"/>
      <c r="BM883" s="14"/>
      <c r="BN883" s="14"/>
      <c r="BO883" s="14"/>
    </row>
    <row r="884" spans="1:67" ht="20.100000000000001" customHeight="1">
      <c r="A884" s="157"/>
      <c r="B884" s="1"/>
      <c r="C884" s="157"/>
      <c r="D884" s="1"/>
      <c r="E884" s="150"/>
      <c r="F884" s="150"/>
      <c r="G884" s="151"/>
      <c r="H884" s="150"/>
      <c r="I884" s="150"/>
      <c r="J884" s="151"/>
      <c r="K884" s="151"/>
      <c r="L884" s="150"/>
      <c r="M884" s="151"/>
      <c r="N884" s="151"/>
      <c r="O884" s="151"/>
      <c r="P884" s="150"/>
      <c r="Q884" s="150"/>
      <c r="R884" s="158"/>
      <c r="S884" s="158"/>
      <c r="T884" s="158"/>
      <c r="U884" s="158"/>
      <c r="V884" s="1"/>
      <c r="W884" s="1"/>
      <c r="X884" s="157"/>
      <c r="Y884" s="157"/>
      <c r="Z884" s="157"/>
      <c r="AA884" s="157"/>
      <c r="AB884" s="157"/>
      <c r="AC884" s="151"/>
      <c r="AD884" s="151"/>
      <c r="AE884" s="151"/>
      <c r="AF884" s="157"/>
      <c r="AG884" s="157"/>
      <c r="AH884" s="157"/>
      <c r="AI884" s="157"/>
      <c r="AJ884" s="157"/>
      <c r="AK884" s="157"/>
      <c r="AL884" s="157"/>
      <c r="AM884" s="157"/>
      <c r="AN884" s="159"/>
      <c r="AO884" s="159"/>
      <c r="AP884" s="160"/>
      <c r="AQ884" s="160"/>
      <c r="AR884" s="160"/>
      <c r="AS884" s="159"/>
      <c r="AT884" s="159"/>
      <c r="AU884" s="161"/>
      <c r="AV884" s="157"/>
      <c r="AW884" s="157"/>
      <c r="AX884" s="157"/>
      <c r="AY884" s="157"/>
      <c r="AZ884" s="157"/>
      <c r="BA884" s="157"/>
      <c r="BB884" s="157"/>
      <c r="BC884" s="151"/>
      <c r="BD884" s="157"/>
      <c r="BE884" s="157"/>
      <c r="BF884" s="157"/>
      <c r="BG884" s="157"/>
      <c r="BH884" s="157"/>
      <c r="BI884" s="157"/>
      <c r="BJ884" s="353"/>
      <c r="BK884" s="353"/>
      <c r="BL884" s="353"/>
      <c r="BM884" s="14"/>
      <c r="BN884" s="14"/>
      <c r="BO884" s="14"/>
    </row>
    <row r="885" spans="1:67" ht="20.100000000000001" customHeight="1">
      <c r="A885" s="157"/>
      <c r="B885" s="1"/>
      <c r="C885" s="157"/>
      <c r="D885" s="1"/>
      <c r="E885" s="150"/>
      <c r="F885" s="150"/>
      <c r="G885" s="151"/>
      <c r="H885" s="150"/>
      <c r="I885" s="150"/>
      <c r="J885" s="151"/>
      <c r="K885" s="151"/>
      <c r="L885" s="150"/>
      <c r="M885" s="151"/>
      <c r="N885" s="151"/>
      <c r="O885" s="151"/>
      <c r="P885" s="150"/>
      <c r="Q885" s="150"/>
      <c r="R885" s="158"/>
      <c r="S885" s="158"/>
      <c r="T885" s="158"/>
      <c r="U885" s="158"/>
      <c r="V885" s="1"/>
      <c r="W885" s="1"/>
      <c r="X885" s="157"/>
      <c r="Y885" s="157"/>
      <c r="Z885" s="157"/>
      <c r="AA885" s="157"/>
      <c r="AB885" s="157"/>
      <c r="AC885" s="151"/>
      <c r="AD885" s="151"/>
      <c r="AE885" s="151"/>
      <c r="AF885" s="157"/>
      <c r="AG885" s="157"/>
      <c r="AH885" s="157"/>
      <c r="AI885" s="157"/>
      <c r="AJ885" s="157"/>
      <c r="AK885" s="157"/>
      <c r="AL885" s="157"/>
      <c r="AM885" s="157"/>
      <c r="AN885" s="159"/>
      <c r="AO885" s="159"/>
      <c r="AP885" s="160"/>
      <c r="AQ885" s="160"/>
      <c r="AR885" s="160"/>
      <c r="AS885" s="159"/>
      <c r="AT885" s="159"/>
      <c r="AU885" s="161"/>
      <c r="AV885" s="157"/>
      <c r="AW885" s="157"/>
      <c r="AX885" s="157"/>
      <c r="AY885" s="157"/>
      <c r="AZ885" s="157"/>
      <c r="BA885" s="157"/>
      <c r="BB885" s="157"/>
      <c r="BC885" s="151"/>
      <c r="BD885" s="157"/>
      <c r="BE885" s="157"/>
      <c r="BF885" s="157"/>
      <c r="BG885" s="157"/>
      <c r="BH885" s="157"/>
      <c r="BI885" s="157"/>
      <c r="BJ885" s="353"/>
      <c r="BK885" s="353"/>
      <c r="BL885" s="353"/>
      <c r="BM885" s="14"/>
      <c r="BN885" s="14"/>
      <c r="BO885" s="14"/>
    </row>
    <row r="886" spans="1:67" ht="20.100000000000001" customHeight="1">
      <c r="A886" s="157"/>
      <c r="B886" s="1"/>
      <c r="C886" s="157"/>
      <c r="D886" s="1"/>
      <c r="E886" s="150"/>
      <c r="F886" s="150"/>
      <c r="G886" s="151"/>
      <c r="H886" s="150"/>
      <c r="I886" s="150"/>
      <c r="J886" s="151"/>
      <c r="K886" s="151"/>
      <c r="L886" s="150"/>
      <c r="M886" s="151"/>
      <c r="N886" s="151"/>
      <c r="O886" s="151"/>
      <c r="P886" s="150"/>
      <c r="Q886" s="150"/>
      <c r="R886" s="158"/>
      <c r="S886" s="158"/>
      <c r="T886" s="158"/>
      <c r="U886" s="158"/>
      <c r="V886" s="1"/>
      <c r="W886" s="1"/>
      <c r="X886" s="157"/>
      <c r="Y886" s="157"/>
      <c r="Z886" s="157"/>
      <c r="AA886" s="157"/>
      <c r="AB886" s="157"/>
      <c r="AC886" s="151"/>
      <c r="AD886" s="151"/>
      <c r="AE886" s="151"/>
      <c r="AF886" s="157"/>
      <c r="AG886" s="157"/>
      <c r="AH886" s="157"/>
      <c r="AI886" s="157"/>
      <c r="AJ886" s="157"/>
      <c r="AK886" s="157"/>
      <c r="AL886" s="157"/>
      <c r="AM886" s="157"/>
      <c r="AN886" s="159"/>
      <c r="AO886" s="159"/>
      <c r="AP886" s="160"/>
      <c r="AQ886" s="160"/>
      <c r="AR886" s="160"/>
      <c r="AS886" s="159"/>
      <c r="AT886" s="159"/>
      <c r="AU886" s="161"/>
      <c r="AV886" s="157"/>
      <c r="AW886" s="157"/>
      <c r="AX886" s="157"/>
      <c r="AY886" s="157"/>
      <c r="AZ886" s="157"/>
      <c r="BA886" s="157"/>
      <c r="BB886" s="157"/>
      <c r="BC886" s="151"/>
      <c r="BD886" s="157"/>
      <c r="BE886" s="157"/>
      <c r="BF886" s="157"/>
      <c r="BG886" s="157"/>
      <c r="BH886" s="157"/>
      <c r="BI886" s="157"/>
      <c r="BJ886" s="353"/>
      <c r="BK886" s="353"/>
      <c r="BL886" s="353"/>
      <c r="BM886" s="14"/>
      <c r="BN886" s="14"/>
      <c r="BO886" s="14"/>
    </row>
    <row r="887" spans="1:67" ht="20.100000000000001" customHeight="1">
      <c r="A887" s="157"/>
      <c r="B887" s="1"/>
      <c r="C887" s="157"/>
      <c r="D887" s="1"/>
      <c r="E887" s="150"/>
      <c r="F887" s="150"/>
      <c r="G887" s="151"/>
      <c r="H887" s="150"/>
      <c r="I887" s="150"/>
      <c r="J887" s="151"/>
      <c r="K887" s="151"/>
      <c r="L887" s="150"/>
      <c r="M887" s="151"/>
      <c r="N887" s="151"/>
      <c r="O887" s="151"/>
      <c r="P887" s="150"/>
      <c r="Q887" s="150"/>
      <c r="R887" s="158"/>
      <c r="S887" s="158"/>
      <c r="T887" s="158"/>
      <c r="U887" s="158"/>
      <c r="V887" s="1"/>
      <c r="W887" s="1"/>
      <c r="X887" s="157"/>
      <c r="Y887" s="157"/>
      <c r="Z887" s="157"/>
      <c r="AA887" s="157"/>
      <c r="AB887" s="157"/>
      <c r="AC887" s="151"/>
      <c r="AD887" s="151"/>
      <c r="AE887" s="151"/>
      <c r="AF887" s="157"/>
      <c r="AG887" s="157"/>
      <c r="AH887" s="157"/>
      <c r="AI887" s="157"/>
      <c r="AJ887" s="157"/>
      <c r="AK887" s="157"/>
      <c r="AL887" s="157"/>
      <c r="AM887" s="157"/>
      <c r="AN887" s="159"/>
      <c r="AO887" s="159"/>
      <c r="AP887" s="160"/>
      <c r="AQ887" s="160"/>
      <c r="AR887" s="160"/>
      <c r="AS887" s="159"/>
      <c r="AT887" s="159"/>
      <c r="AU887" s="161"/>
      <c r="AV887" s="157"/>
      <c r="AW887" s="157"/>
      <c r="AX887" s="157"/>
      <c r="AY887" s="157"/>
      <c r="AZ887" s="157"/>
      <c r="BA887" s="157"/>
      <c r="BB887" s="157"/>
      <c r="BC887" s="151"/>
      <c r="BD887" s="157"/>
      <c r="BE887" s="157"/>
      <c r="BF887" s="157"/>
      <c r="BG887" s="157"/>
      <c r="BH887" s="157"/>
      <c r="BI887" s="157"/>
      <c r="BJ887" s="353"/>
      <c r="BK887" s="353"/>
      <c r="BL887" s="353"/>
      <c r="BM887" s="14"/>
      <c r="BN887" s="14"/>
      <c r="BO887" s="14"/>
    </row>
    <row r="888" spans="1:67" ht="20.100000000000001" customHeight="1">
      <c r="A888" s="157"/>
      <c r="B888" s="1"/>
      <c r="C888" s="157"/>
      <c r="D888" s="1"/>
      <c r="E888" s="150"/>
      <c r="F888" s="150"/>
      <c r="G888" s="151"/>
      <c r="H888" s="150"/>
      <c r="I888" s="150"/>
      <c r="J888" s="151"/>
      <c r="K888" s="151"/>
      <c r="L888" s="150"/>
      <c r="M888" s="151"/>
      <c r="N888" s="151"/>
      <c r="O888" s="151"/>
      <c r="P888" s="150"/>
      <c r="Q888" s="150"/>
      <c r="R888" s="158"/>
      <c r="S888" s="158"/>
      <c r="T888" s="158"/>
      <c r="U888" s="158"/>
      <c r="V888" s="1"/>
      <c r="W888" s="1"/>
      <c r="X888" s="157"/>
      <c r="Y888" s="157"/>
      <c r="Z888" s="157"/>
      <c r="AA888" s="157"/>
      <c r="AB888" s="157"/>
      <c r="AC888" s="151"/>
      <c r="AD888" s="151"/>
      <c r="AE888" s="151"/>
      <c r="AF888" s="157"/>
      <c r="AG888" s="157"/>
      <c r="AH888" s="157"/>
      <c r="AI888" s="157"/>
      <c r="AJ888" s="157"/>
      <c r="AK888" s="157"/>
      <c r="AL888" s="157"/>
      <c r="AM888" s="157"/>
      <c r="AN888" s="159"/>
      <c r="AO888" s="159"/>
      <c r="AP888" s="160"/>
      <c r="AQ888" s="160"/>
      <c r="AR888" s="160"/>
      <c r="AS888" s="159"/>
      <c r="AT888" s="159"/>
      <c r="AU888" s="161"/>
      <c r="AV888" s="157"/>
      <c r="AW888" s="157"/>
      <c r="AX888" s="157"/>
      <c r="AY888" s="157"/>
      <c r="AZ888" s="157"/>
      <c r="BA888" s="157"/>
      <c r="BB888" s="157"/>
      <c r="BC888" s="151"/>
      <c r="BD888" s="157"/>
      <c r="BE888" s="157"/>
      <c r="BF888" s="157"/>
      <c r="BG888" s="157"/>
      <c r="BH888" s="157"/>
      <c r="BI888" s="157"/>
      <c r="BJ888" s="353"/>
      <c r="BK888" s="353"/>
      <c r="BL888" s="353"/>
      <c r="BM888" s="14"/>
      <c r="BN888" s="14"/>
      <c r="BO888" s="14"/>
    </row>
    <row r="889" spans="1:67" ht="20.100000000000001" customHeight="1">
      <c r="A889" s="157"/>
      <c r="B889" s="1"/>
      <c r="C889" s="157"/>
      <c r="D889" s="1"/>
      <c r="E889" s="150"/>
      <c r="F889" s="150"/>
      <c r="G889" s="151"/>
      <c r="H889" s="150"/>
      <c r="I889" s="150"/>
      <c r="J889" s="151"/>
      <c r="K889" s="151"/>
      <c r="L889" s="150"/>
      <c r="M889" s="151"/>
      <c r="N889" s="151"/>
      <c r="O889" s="151"/>
      <c r="P889" s="150"/>
      <c r="Q889" s="150"/>
      <c r="R889" s="158"/>
      <c r="S889" s="158"/>
      <c r="T889" s="158"/>
      <c r="U889" s="158"/>
      <c r="V889" s="1"/>
      <c r="W889" s="1"/>
      <c r="X889" s="157"/>
      <c r="Y889" s="157"/>
      <c r="Z889" s="157"/>
      <c r="AA889" s="157"/>
      <c r="AB889" s="157"/>
      <c r="AC889" s="151"/>
      <c r="AD889" s="151"/>
      <c r="AE889" s="151"/>
      <c r="AF889" s="157"/>
      <c r="AG889" s="157"/>
      <c r="AH889" s="157"/>
      <c r="AI889" s="157"/>
      <c r="AJ889" s="157"/>
      <c r="AK889" s="157"/>
      <c r="AL889" s="157"/>
      <c r="AM889" s="157"/>
      <c r="AN889" s="159"/>
      <c r="AO889" s="159"/>
      <c r="AP889" s="160"/>
      <c r="AQ889" s="160"/>
      <c r="AR889" s="160"/>
      <c r="AS889" s="159"/>
      <c r="AT889" s="159"/>
      <c r="AU889" s="161"/>
      <c r="AV889" s="157"/>
      <c r="AW889" s="157"/>
      <c r="AX889" s="157"/>
      <c r="AY889" s="157"/>
      <c r="AZ889" s="157"/>
      <c r="BA889" s="157"/>
      <c r="BB889" s="157"/>
      <c r="BC889" s="151"/>
      <c r="BD889" s="157"/>
      <c r="BE889" s="157"/>
      <c r="BF889" s="157"/>
      <c r="BG889" s="157"/>
      <c r="BH889" s="157"/>
      <c r="BI889" s="157"/>
      <c r="BJ889" s="353"/>
      <c r="BK889" s="353"/>
      <c r="BL889" s="353"/>
      <c r="BM889" s="14"/>
      <c r="BN889" s="14"/>
      <c r="BO889" s="14"/>
    </row>
    <row r="890" spans="1:67" ht="20.100000000000001" customHeight="1">
      <c r="A890" s="157"/>
      <c r="B890" s="1"/>
      <c r="C890" s="157"/>
      <c r="D890" s="1"/>
      <c r="E890" s="150"/>
      <c r="F890" s="150"/>
      <c r="G890" s="151"/>
      <c r="H890" s="150"/>
      <c r="I890" s="150"/>
      <c r="J890" s="151"/>
      <c r="K890" s="151"/>
      <c r="L890" s="150"/>
      <c r="M890" s="151"/>
      <c r="N890" s="151"/>
      <c r="O890" s="151"/>
      <c r="P890" s="150"/>
      <c r="Q890" s="150"/>
      <c r="R890" s="158"/>
      <c r="S890" s="158"/>
      <c r="T890" s="158"/>
      <c r="U890" s="158"/>
      <c r="V890" s="1"/>
      <c r="W890" s="1"/>
      <c r="X890" s="157"/>
      <c r="Y890" s="157"/>
      <c r="Z890" s="157"/>
      <c r="AA890" s="157"/>
      <c r="AB890" s="157"/>
      <c r="AC890" s="151"/>
      <c r="AD890" s="151"/>
      <c r="AE890" s="151"/>
      <c r="AF890" s="157"/>
      <c r="AG890" s="157"/>
      <c r="AH890" s="157"/>
      <c r="AI890" s="157"/>
      <c r="AJ890" s="157"/>
      <c r="AK890" s="157"/>
      <c r="AL890" s="157"/>
      <c r="AM890" s="157"/>
      <c r="AN890" s="159"/>
      <c r="AO890" s="159"/>
      <c r="AP890" s="160"/>
      <c r="AQ890" s="160"/>
      <c r="AR890" s="160"/>
      <c r="AS890" s="159"/>
      <c r="AT890" s="159"/>
      <c r="AU890" s="161"/>
      <c r="AV890" s="157"/>
      <c r="AW890" s="157"/>
      <c r="AX890" s="157"/>
      <c r="AY890" s="157"/>
      <c r="AZ890" s="157"/>
      <c r="BA890" s="157"/>
      <c r="BB890" s="157"/>
      <c r="BC890" s="151"/>
      <c r="BD890" s="157"/>
      <c r="BE890" s="157"/>
      <c r="BF890" s="157"/>
      <c r="BG890" s="157"/>
      <c r="BH890" s="157"/>
      <c r="BI890" s="157"/>
      <c r="BJ890" s="353"/>
      <c r="BK890" s="353"/>
      <c r="BL890" s="353"/>
      <c r="BM890" s="14"/>
      <c r="BN890" s="14"/>
      <c r="BO890" s="14"/>
    </row>
    <row r="891" spans="1:67" ht="20.100000000000001" customHeight="1">
      <c r="A891" s="157"/>
      <c r="B891" s="1"/>
      <c r="C891" s="157"/>
      <c r="D891" s="1"/>
      <c r="E891" s="150"/>
      <c r="F891" s="150"/>
      <c r="G891" s="151"/>
      <c r="H891" s="150"/>
      <c r="I891" s="150"/>
      <c r="J891" s="151"/>
      <c r="K891" s="151"/>
      <c r="L891" s="150"/>
      <c r="M891" s="151"/>
      <c r="N891" s="151"/>
      <c r="O891" s="151"/>
      <c r="P891" s="150"/>
      <c r="Q891" s="150"/>
      <c r="R891" s="158"/>
      <c r="S891" s="158"/>
      <c r="T891" s="158"/>
      <c r="U891" s="158"/>
      <c r="V891" s="1"/>
      <c r="W891" s="1"/>
      <c r="X891" s="157"/>
      <c r="Y891" s="157"/>
      <c r="Z891" s="157"/>
      <c r="AA891" s="157"/>
      <c r="AB891" s="157"/>
      <c r="AC891" s="151"/>
      <c r="AD891" s="151"/>
      <c r="AE891" s="151"/>
      <c r="AF891" s="157"/>
      <c r="AG891" s="157"/>
      <c r="AH891" s="157"/>
      <c r="AI891" s="157"/>
      <c r="AJ891" s="157"/>
      <c r="AK891" s="157"/>
      <c r="AL891" s="157"/>
      <c r="AM891" s="157"/>
      <c r="AN891" s="159"/>
      <c r="AO891" s="159"/>
      <c r="AP891" s="160"/>
      <c r="AQ891" s="160"/>
      <c r="AR891" s="160"/>
      <c r="AS891" s="159"/>
      <c r="AT891" s="159"/>
      <c r="AU891" s="161"/>
      <c r="AV891" s="157"/>
      <c r="AW891" s="157"/>
      <c r="AX891" s="157"/>
      <c r="AY891" s="157"/>
      <c r="AZ891" s="157"/>
      <c r="BA891" s="157"/>
      <c r="BB891" s="157"/>
      <c r="BC891" s="151"/>
      <c r="BD891" s="157"/>
      <c r="BE891" s="157"/>
      <c r="BF891" s="157"/>
      <c r="BG891" s="157"/>
      <c r="BH891" s="157"/>
      <c r="BI891" s="157"/>
      <c r="BJ891" s="353"/>
      <c r="BK891" s="353"/>
      <c r="BL891" s="353"/>
      <c r="BM891" s="14"/>
      <c r="BN891" s="14"/>
      <c r="BO891" s="14"/>
    </row>
    <row r="892" spans="1:67" ht="20.100000000000001" customHeight="1">
      <c r="A892" s="157"/>
      <c r="B892" s="1"/>
      <c r="C892" s="157"/>
      <c r="D892" s="1"/>
      <c r="E892" s="150"/>
      <c r="F892" s="150"/>
      <c r="G892" s="151"/>
      <c r="H892" s="150"/>
      <c r="I892" s="150"/>
      <c r="J892" s="151"/>
      <c r="K892" s="151"/>
      <c r="L892" s="150"/>
      <c r="M892" s="151"/>
      <c r="N892" s="151"/>
      <c r="O892" s="151"/>
      <c r="P892" s="150"/>
      <c r="Q892" s="150"/>
      <c r="R892" s="158"/>
      <c r="S892" s="158"/>
      <c r="T892" s="158"/>
      <c r="U892" s="158"/>
      <c r="V892" s="1"/>
      <c r="W892" s="1"/>
      <c r="X892" s="157"/>
      <c r="Y892" s="157"/>
      <c r="Z892" s="157"/>
      <c r="AA892" s="157"/>
      <c r="AB892" s="157"/>
      <c r="AC892" s="151"/>
      <c r="AD892" s="151"/>
      <c r="AE892" s="151"/>
      <c r="AF892" s="157"/>
      <c r="AG892" s="157"/>
      <c r="AH892" s="157"/>
      <c r="AI892" s="157"/>
      <c r="AJ892" s="157"/>
      <c r="AK892" s="157"/>
      <c r="AL892" s="157"/>
      <c r="AM892" s="157"/>
      <c r="AN892" s="159"/>
      <c r="AO892" s="159"/>
      <c r="AP892" s="160"/>
      <c r="AQ892" s="160"/>
      <c r="AR892" s="160"/>
      <c r="AS892" s="159"/>
      <c r="AT892" s="159"/>
      <c r="AU892" s="161"/>
      <c r="AV892" s="157"/>
      <c r="AW892" s="157"/>
      <c r="AX892" s="157"/>
      <c r="AY892" s="157"/>
      <c r="AZ892" s="157"/>
      <c r="BA892" s="157"/>
      <c r="BB892" s="157"/>
      <c r="BC892" s="151"/>
      <c r="BD892" s="157"/>
      <c r="BE892" s="157"/>
      <c r="BF892" s="157"/>
      <c r="BG892" s="157"/>
      <c r="BH892" s="157"/>
      <c r="BI892" s="157"/>
      <c r="BJ892" s="353"/>
      <c r="BK892" s="353"/>
      <c r="BL892" s="353"/>
      <c r="BM892" s="14"/>
      <c r="BN892" s="14"/>
      <c r="BO892" s="14"/>
    </row>
    <row r="893" spans="1:67" ht="20.100000000000001" customHeight="1">
      <c r="A893" s="157"/>
      <c r="B893" s="1"/>
      <c r="C893" s="157"/>
      <c r="D893" s="1"/>
      <c r="E893" s="150"/>
      <c r="F893" s="150"/>
      <c r="G893" s="151"/>
      <c r="H893" s="150"/>
      <c r="I893" s="150"/>
      <c r="J893" s="151"/>
      <c r="K893" s="151"/>
      <c r="L893" s="150"/>
      <c r="M893" s="151"/>
      <c r="N893" s="151"/>
      <c r="O893" s="151"/>
      <c r="P893" s="150"/>
      <c r="Q893" s="150"/>
      <c r="R893" s="158"/>
      <c r="S893" s="158"/>
      <c r="T893" s="158"/>
      <c r="U893" s="158"/>
      <c r="V893" s="1"/>
      <c r="W893" s="1"/>
      <c r="X893" s="157"/>
      <c r="Y893" s="157"/>
      <c r="Z893" s="157"/>
      <c r="AA893" s="157"/>
      <c r="AB893" s="157"/>
      <c r="AC893" s="151"/>
      <c r="AD893" s="151"/>
      <c r="AE893" s="151"/>
      <c r="AF893" s="157"/>
      <c r="AG893" s="157"/>
      <c r="AH893" s="157"/>
      <c r="AI893" s="157"/>
      <c r="AJ893" s="157"/>
      <c r="AK893" s="157"/>
      <c r="AL893" s="157"/>
      <c r="AM893" s="157"/>
      <c r="AN893" s="159"/>
      <c r="AO893" s="159"/>
      <c r="AP893" s="160"/>
      <c r="AQ893" s="160"/>
      <c r="AR893" s="160"/>
      <c r="AS893" s="159"/>
      <c r="AT893" s="159"/>
      <c r="AU893" s="161"/>
      <c r="AV893" s="157"/>
      <c r="AW893" s="157"/>
      <c r="AX893" s="157"/>
      <c r="AY893" s="157"/>
      <c r="AZ893" s="157"/>
      <c r="BA893" s="157"/>
      <c r="BB893" s="157"/>
      <c r="BC893" s="151"/>
      <c r="BD893" s="157"/>
      <c r="BE893" s="157"/>
      <c r="BF893" s="157"/>
      <c r="BG893" s="157"/>
      <c r="BH893" s="157"/>
      <c r="BI893" s="157"/>
      <c r="BJ893" s="353"/>
      <c r="BK893" s="353"/>
      <c r="BL893" s="353"/>
      <c r="BM893" s="14"/>
      <c r="BN893" s="14"/>
      <c r="BO893" s="14"/>
    </row>
    <row r="894" spans="1:67" ht="20.100000000000001" customHeight="1">
      <c r="A894" s="157"/>
      <c r="B894" s="1"/>
      <c r="C894" s="157"/>
      <c r="D894" s="1"/>
      <c r="E894" s="150"/>
      <c r="F894" s="150"/>
      <c r="G894" s="151"/>
      <c r="H894" s="150"/>
      <c r="I894" s="150"/>
      <c r="J894" s="151"/>
      <c r="K894" s="151"/>
      <c r="L894" s="150"/>
      <c r="M894" s="151"/>
      <c r="N894" s="151"/>
      <c r="O894" s="151"/>
      <c r="P894" s="150"/>
      <c r="Q894" s="150"/>
      <c r="R894" s="158"/>
      <c r="S894" s="158"/>
      <c r="T894" s="158"/>
      <c r="U894" s="158"/>
      <c r="V894" s="1"/>
      <c r="W894" s="1"/>
      <c r="X894" s="157"/>
      <c r="Y894" s="157"/>
      <c r="Z894" s="157"/>
      <c r="AA894" s="157"/>
      <c r="AB894" s="157"/>
      <c r="AC894" s="151"/>
      <c r="AD894" s="151"/>
      <c r="AE894" s="151"/>
      <c r="AF894" s="157"/>
      <c r="AG894" s="157"/>
      <c r="AH894" s="157"/>
      <c r="AI894" s="157"/>
      <c r="AJ894" s="157"/>
      <c r="AK894" s="157"/>
      <c r="AL894" s="157"/>
      <c r="AM894" s="157"/>
      <c r="AN894" s="159"/>
      <c r="AO894" s="159"/>
      <c r="AP894" s="160"/>
      <c r="AQ894" s="160"/>
      <c r="AR894" s="160"/>
      <c r="AS894" s="159"/>
      <c r="AT894" s="159"/>
      <c r="AU894" s="161"/>
      <c r="AV894" s="157"/>
      <c r="AW894" s="157"/>
      <c r="AX894" s="157"/>
      <c r="AY894" s="157"/>
      <c r="AZ894" s="157"/>
      <c r="BA894" s="157"/>
      <c r="BB894" s="157"/>
      <c r="BC894" s="151"/>
      <c r="BD894" s="157"/>
      <c r="BE894" s="157"/>
      <c r="BF894" s="157"/>
      <c r="BG894" s="157"/>
      <c r="BH894" s="157"/>
      <c r="BI894" s="157"/>
      <c r="BJ894" s="353"/>
      <c r="BK894" s="353"/>
      <c r="BL894" s="353"/>
      <c r="BM894" s="14"/>
      <c r="BN894" s="14"/>
      <c r="BO894" s="14"/>
    </row>
    <row r="895" spans="1:67" ht="20.100000000000001" customHeight="1">
      <c r="A895" s="157"/>
      <c r="B895" s="1"/>
      <c r="C895" s="157"/>
      <c r="D895" s="1"/>
      <c r="E895" s="150"/>
      <c r="F895" s="150"/>
      <c r="G895" s="151"/>
      <c r="H895" s="150"/>
      <c r="I895" s="150"/>
      <c r="J895" s="151"/>
      <c r="K895" s="151"/>
      <c r="L895" s="150"/>
      <c r="M895" s="151"/>
      <c r="N895" s="151"/>
      <c r="O895" s="151"/>
      <c r="P895" s="150"/>
      <c r="Q895" s="150"/>
      <c r="R895" s="158"/>
      <c r="S895" s="158"/>
      <c r="T895" s="158"/>
      <c r="U895" s="158"/>
      <c r="V895" s="1"/>
      <c r="W895" s="1"/>
      <c r="X895" s="157"/>
      <c r="Y895" s="157"/>
      <c r="Z895" s="157"/>
      <c r="AA895" s="157"/>
      <c r="AB895" s="157"/>
      <c r="AC895" s="151"/>
      <c r="AD895" s="151"/>
      <c r="AE895" s="151"/>
      <c r="AF895" s="157"/>
      <c r="AG895" s="157"/>
      <c r="AH895" s="157"/>
      <c r="AI895" s="157"/>
      <c r="AJ895" s="157"/>
      <c r="AK895" s="157"/>
      <c r="AL895" s="157"/>
      <c r="AM895" s="157"/>
      <c r="AN895" s="159"/>
      <c r="AO895" s="159"/>
      <c r="AP895" s="160"/>
      <c r="AQ895" s="160"/>
      <c r="AR895" s="160"/>
      <c r="AS895" s="159"/>
      <c r="AT895" s="159"/>
      <c r="AU895" s="161"/>
      <c r="AV895" s="157"/>
      <c r="AW895" s="157"/>
      <c r="AX895" s="157"/>
      <c r="AY895" s="157"/>
      <c r="AZ895" s="157"/>
      <c r="BA895" s="157"/>
      <c r="BB895" s="157"/>
      <c r="BC895" s="151"/>
      <c r="BD895" s="157"/>
      <c r="BE895" s="157"/>
      <c r="BF895" s="157"/>
      <c r="BG895" s="157"/>
      <c r="BH895" s="157"/>
      <c r="BI895" s="157"/>
      <c r="BJ895" s="353"/>
      <c r="BK895" s="353"/>
      <c r="BL895" s="353"/>
      <c r="BM895" s="14"/>
      <c r="BN895" s="14"/>
      <c r="BO895" s="14"/>
    </row>
    <row r="896" spans="1:67" ht="20.100000000000001" customHeight="1">
      <c r="A896" s="157"/>
      <c r="B896" s="1"/>
      <c r="C896" s="157"/>
      <c r="D896" s="1"/>
      <c r="E896" s="150"/>
      <c r="F896" s="150"/>
      <c r="G896" s="151"/>
      <c r="H896" s="150"/>
      <c r="I896" s="150"/>
      <c r="J896" s="151"/>
      <c r="K896" s="151"/>
      <c r="L896" s="150"/>
      <c r="M896" s="151"/>
      <c r="N896" s="151"/>
      <c r="O896" s="151"/>
      <c r="P896" s="150"/>
      <c r="Q896" s="150"/>
      <c r="R896" s="158"/>
      <c r="S896" s="158"/>
      <c r="T896" s="158"/>
      <c r="U896" s="158"/>
      <c r="V896" s="1"/>
      <c r="W896" s="1"/>
      <c r="X896" s="157"/>
      <c r="Y896" s="157"/>
      <c r="Z896" s="157"/>
      <c r="AA896" s="157"/>
      <c r="AB896" s="157"/>
      <c r="AC896" s="151"/>
      <c r="AD896" s="151"/>
      <c r="AE896" s="151"/>
      <c r="AF896" s="157"/>
      <c r="AG896" s="157"/>
      <c r="AH896" s="157"/>
      <c r="AI896" s="157"/>
      <c r="AJ896" s="157"/>
      <c r="AK896" s="157"/>
      <c r="AL896" s="157"/>
      <c r="AM896" s="157"/>
      <c r="AN896" s="159"/>
      <c r="AO896" s="159"/>
      <c r="AP896" s="160"/>
      <c r="AQ896" s="160"/>
      <c r="AR896" s="160"/>
      <c r="AS896" s="159"/>
      <c r="AT896" s="159"/>
      <c r="AU896" s="161"/>
      <c r="AV896" s="157"/>
      <c r="AW896" s="157"/>
      <c r="AX896" s="157"/>
      <c r="AY896" s="157"/>
      <c r="AZ896" s="157"/>
      <c r="BA896" s="157"/>
      <c r="BB896" s="157"/>
      <c r="BC896" s="151"/>
      <c r="BD896" s="157"/>
      <c r="BE896" s="157"/>
      <c r="BF896" s="157"/>
      <c r="BG896" s="157"/>
      <c r="BH896" s="157"/>
      <c r="BI896" s="157"/>
      <c r="BJ896" s="353"/>
      <c r="BK896" s="353"/>
      <c r="BL896" s="353"/>
      <c r="BM896" s="14"/>
      <c r="BN896" s="14"/>
      <c r="BO896" s="14"/>
    </row>
    <row r="897" spans="1:67" ht="20.100000000000001" customHeight="1">
      <c r="A897" s="157"/>
      <c r="B897" s="1"/>
      <c r="C897" s="157"/>
      <c r="D897" s="1"/>
      <c r="E897" s="150"/>
      <c r="F897" s="150"/>
      <c r="G897" s="151"/>
      <c r="H897" s="150"/>
      <c r="I897" s="150"/>
      <c r="J897" s="151"/>
      <c r="K897" s="151"/>
      <c r="L897" s="150"/>
      <c r="M897" s="151"/>
      <c r="N897" s="151"/>
      <c r="O897" s="151"/>
      <c r="P897" s="150"/>
      <c r="Q897" s="150"/>
      <c r="R897" s="158"/>
      <c r="S897" s="158"/>
      <c r="T897" s="158"/>
      <c r="U897" s="158"/>
      <c r="V897" s="1"/>
      <c r="W897" s="1"/>
      <c r="X897" s="157"/>
      <c r="Y897" s="157"/>
      <c r="Z897" s="157"/>
      <c r="AA897" s="157"/>
      <c r="AB897" s="157"/>
      <c r="AC897" s="151"/>
      <c r="AD897" s="151"/>
      <c r="AE897" s="151"/>
      <c r="AF897" s="157"/>
      <c r="AG897" s="157"/>
      <c r="AH897" s="157"/>
      <c r="AI897" s="157"/>
      <c r="AJ897" s="157"/>
      <c r="AK897" s="157"/>
      <c r="AL897" s="157"/>
      <c r="AM897" s="157"/>
      <c r="AN897" s="159"/>
      <c r="AO897" s="159"/>
      <c r="AP897" s="160"/>
      <c r="AQ897" s="160"/>
      <c r="AR897" s="160"/>
      <c r="AS897" s="159"/>
      <c r="AT897" s="159"/>
      <c r="AU897" s="161"/>
      <c r="AV897" s="157"/>
      <c r="AW897" s="157"/>
      <c r="AX897" s="157"/>
      <c r="AY897" s="157"/>
      <c r="AZ897" s="157"/>
      <c r="BA897" s="157"/>
      <c r="BB897" s="157"/>
      <c r="BC897" s="151"/>
      <c r="BD897" s="157"/>
      <c r="BE897" s="157"/>
      <c r="BF897" s="157"/>
      <c r="BG897" s="157"/>
      <c r="BH897" s="157"/>
      <c r="BI897" s="157"/>
      <c r="BJ897" s="353"/>
      <c r="BK897" s="353"/>
      <c r="BL897" s="353"/>
      <c r="BM897" s="14"/>
      <c r="BN897" s="14"/>
      <c r="BO897" s="14"/>
    </row>
    <row r="898" spans="1:67" ht="20.100000000000001" customHeight="1">
      <c r="A898" s="157"/>
      <c r="B898" s="1"/>
      <c r="C898" s="157"/>
      <c r="D898" s="1"/>
      <c r="E898" s="150"/>
      <c r="F898" s="150"/>
      <c r="G898" s="151"/>
      <c r="H898" s="150"/>
      <c r="I898" s="150"/>
      <c r="J898" s="151"/>
      <c r="K898" s="151"/>
      <c r="L898" s="150"/>
      <c r="M898" s="151"/>
      <c r="N898" s="151"/>
      <c r="O898" s="151"/>
      <c r="P898" s="150"/>
      <c r="Q898" s="150"/>
      <c r="R898" s="158"/>
      <c r="S898" s="158"/>
      <c r="T898" s="158"/>
      <c r="U898" s="158"/>
      <c r="V898" s="1"/>
      <c r="W898" s="1"/>
      <c r="X898" s="157"/>
      <c r="Y898" s="157"/>
      <c r="Z898" s="157"/>
      <c r="AA898" s="157"/>
      <c r="AB898" s="157"/>
      <c r="AC898" s="151"/>
      <c r="AD898" s="151"/>
      <c r="AE898" s="151"/>
      <c r="AF898" s="157"/>
      <c r="AG898" s="157"/>
      <c r="AH898" s="157"/>
      <c r="AI898" s="157"/>
      <c r="AJ898" s="157"/>
      <c r="AK898" s="157"/>
      <c r="AL898" s="157"/>
      <c r="AM898" s="157"/>
      <c r="AN898" s="159"/>
      <c r="AO898" s="159"/>
      <c r="AP898" s="160"/>
      <c r="AQ898" s="160"/>
      <c r="AR898" s="160"/>
      <c r="AS898" s="159"/>
      <c r="AT898" s="159"/>
      <c r="AU898" s="161"/>
      <c r="AV898" s="157"/>
      <c r="AW898" s="157"/>
      <c r="AX898" s="157"/>
      <c r="AY898" s="157"/>
      <c r="AZ898" s="157"/>
      <c r="BA898" s="157"/>
      <c r="BB898" s="157"/>
      <c r="BC898" s="151"/>
      <c r="BD898" s="157"/>
      <c r="BE898" s="157"/>
      <c r="BF898" s="157"/>
      <c r="BG898" s="157"/>
      <c r="BH898" s="157"/>
      <c r="BI898" s="157"/>
      <c r="BJ898" s="353"/>
      <c r="BK898" s="353"/>
      <c r="BL898" s="353"/>
      <c r="BM898" s="14"/>
      <c r="BN898" s="14"/>
      <c r="BO898" s="14"/>
    </row>
    <row r="899" spans="1:67" ht="20.100000000000001" customHeight="1">
      <c r="A899" s="157"/>
      <c r="B899" s="1"/>
      <c r="C899" s="157"/>
      <c r="D899" s="1"/>
      <c r="E899" s="150"/>
      <c r="F899" s="150"/>
      <c r="G899" s="151"/>
      <c r="H899" s="150"/>
      <c r="I899" s="150"/>
      <c r="J899" s="151"/>
      <c r="K899" s="151"/>
      <c r="L899" s="150"/>
      <c r="M899" s="151"/>
      <c r="N899" s="151"/>
      <c r="O899" s="151"/>
      <c r="P899" s="150"/>
      <c r="Q899" s="150"/>
      <c r="R899" s="158"/>
      <c r="S899" s="158"/>
      <c r="T899" s="158"/>
      <c r="U899" s="158"/>
      <c r="V899" s="1"/>
      <c r="W899" s="1"/>
      <c r="X899" s="157"/>
      <c r="Y899" s="157"/>
      <c r="Z899" s="157"/>
      <c r="AA899" s="157"/>
      <c r="AB899" s="157"/>
      <c r="AC899" s="151"/>
      <c r="AD899" s="151"/>
      <c r="AE899" s="151"/>
      <c r="AF899" s="157"/>
      <c r="AG899" s="157"/>
      <c r="AH899" s="157"/>
      <c r="AI899" s="157"/>
      <c r="AJ899" s="157"/>
      <c r="AK899" s="157"/>
      <c r="AL899" s="157"/>
      <c r="AM899" s="157"/>
      <c r="AN899" s="159"/>
      <c r="AO899" s="159"/>
      <c r="AP899" s="160"/>
      <c r="AQ899" s="160"/>
      <c r="AR899" s="160"/>
      <c r="AS899" s="159"/>
      <c r="AT899" s="159"/>
      <c r="AU899" s="161"/>
      <c r="AV899" s="157"/>
      <c r="AW899" s="157"/>
      <c r="AX899" s="157"/>
      <c r="AY899" s="157"/>
      <c r="AZ899" s="157"/>
      <c r="BA899" s="157"/>
      <c r="BB899" s="157"/>
      <c r="BC899" s="151"/>
      <c r="BD899" s="157"/>
      <c r="BE899" s="157"/>
      <c r="BF899" s="157"/>
      <c r="BG899" s="157"/>
      <c r="BH899" s="157"/>
      <c r="BI899" s="157"/>
      <c r="BJ899" s="353"/>
      <c r="BK899" s="353"/>
      <c r="BL899" s="353"/>
      <c r="BM899" s="14"/>
      <c r="BN899" s="14"/>
      <c r="BO899" s="14"/>
    </row>
    <row r="900" spans="1:67" ht="20.100000000000001" customHeight="1">
      <c r="A900" s="157"/>
      <c r="B900" s="1"/>
      <c r="C900" s="157"/>
      <c r="D900" s="1"/>
      <c r="E900" s="150"/>
      <c r="F900" s="150"/>
      <c r="G900" s="151"/>
      <c r="H900" s="150"/>
      <c r="I900" s="150"/>
      <c r="J900" s="151"/>
      <c r="K900" s="151"/>
      <c r="L900" s="150"/>
      <c r="M900" s="151"/>
      <c r="N900" s="151"/>
      <c r="O900" s="151"/>
      <c r="P900" s="150"/>
      <c r="Q900" s="150"/>
      <c r="R900" s="158"/>
      <c r="S900" s="158"/>
      <c r="T900" s="158"/>
      <c r="U900" s="158"/>
      <c r="V900" s="1"/>
      <c r="W900" s="1"/>
      <c r="X900" s="157"/>
      <c r="Y900" s="157"/>
      <c r="Z900" s="157"/>
      <c r="AA900" s="157"/>
      <c r="AB900" s="157"/>
      <c r="AC900" s="151"/>
      <c r="AD900" s="151"/>
      <c r="AE900" s="151"/>
      <c r="AF900" s="157"/>
      <c r="AG900" s="157"/>
      <c r="AH900" s="157"/>
      <c r="AI900" s="157"/>
      <c r="AJ900" s="157"/>
      <c r="AK900" s="157"/>
      <c r="AL900" s="157"/>
      <c r="AM900" s="157"/>
      <c r="AN900" s="159"/>
      <c r="AO900" s="159"/>
      <c r="AP900" s="160"/>
      <c r="AQ900" s="160"/>
      <c r="AR900" s="160"/>
      <c r="AS900" s="159"/>
      <c r="AT900" s="159"/>
      <c r="AU900" s="161"/>
      <c r="AV900" s="157"/>
      <c r="AW900" s="157"/>
      <c r="AX900" s="157"/>
      <c r="AY900" s="157"/>
      <c r="AZ900" s="157"/>
      <c r="BA900" s="157"/>
      <c r="BB900" s="157"/>
      <c r="BC900" s="151"/>
      <c r="BD900" s="157"/>
      <c r="BE900" s="157"/>
      <c r="BF900" s="157"/>
      <c r="BG900" s="157"/>
      <c r="BH900" s="157"/>
      <c r="BI900" s="157"/>
      <c r="BJ900" s="353"/>
      <c r="BK900" s="353"/>
      <c r="BL900" s="353"/>
      <c r="BM900" s="14"/>
      <c r="BN900" s="14"/>
      <c r="BO900" s="14"/>
    </row>
    <row r="901" spans="1:67" ht="20.100000000000001" customHeight="1">
      <c r="A901" s="157"/>
      <c r="B901" s="1"/>
      <c r="C901" s="157"/>
      <c r="D901" s="1"/>
      <c r="E901" s="150"/>
      <c r="F901" s="150"/>
      <c r="G901" s="151"/>
      <c r="H901" s="150"/>
      <c r="I901" s="150"/>
      <c r="J901" s="151"/>
      <c r="K901" s="151"/>
      <c r="L901" s="150"/>
      <c r="M901" s="151"/>
      <c r="N901" s="151"/>
      <c r="O901" s="151"/>
      <c r="P901" s="150"/>
      <c r="Q901" s="150"/>
      <c r="R901" s="158"/>
      <c r="S901" s="158"/>
      <c r="T901" s="158"/>
      <c r="U901" s="158"/>
      <c r="V901" s="1"/>
      <c r="W901" s="1"/>
      <c r="X901" s="157"/>
      <c r="Y901" s="157"/>
      <c r="Z901" s="157"/>
      <c r="AA901" s="157"/>
      <c r="AB901" s="157"/>
      <c r="AC901" s="151"/>
      <c r="AD901" s="151"/>
      <c r="AE901" s="151"/>
      <c r="AF901" s="157"/>
      <c r="AG901" s="157"/>
      <c r="AH901" s="157"/>
      <c r="AI901" s="157"/>
      <c r="AJ901" s="157"/>
      <c r="AK901" s="157"/>
      <c r="AL901" s="157"/>
      <c r="AM901" s="157"/>
      <c r="AN901" s="159"/>
      <c r="AO901" s="159"/>
      <c r="AP901" s="160"/>
      <c r="AQ901" s="160"/>
      <c r="AR901" s="160"/>
      <c r="AS901" s="159"/>
      <c r="AT901" s="159"/>
      <c r="AU901" s="161"/>
      <c r="AV901" s="157"/>
      <c r="AW901" s="157"/>
      <c r="AX901" s="157"/>
      <c r="AY901" s="157"/>
      <c r="AZ901" s="157"/>
      <c r="BA901" s="157"/>
      <c r="BB901" s="157"/>
      <c r="BC901" s="151"/>
      <c r="BD901" s="157"/>
      <c r="BE901" s="157"/>
      <c r="BF901" s="157"/>
      <c r="BG901" s="157"/>
      <c r="BH901" s="157"/>
      <c r="BI901" s="157"/>
      <c r="BJ901" s="353"/>
      <c r="BK901" s="353"/>
      <c r="BL901" s="353"/>
      <c r="BM901" s="14"/>
      <c r="BN901" s="14"/>
      <c r="BO901" s="14"/>
    </row>
    <row r="902" spans="1:67" ht="20.100000000000001" customHeight="1">
      <c r="A902" s="157"/>
      <c r="B902" s="1"/>
      <c r="C902" s="157"/>
      <c r="D902" s="1"/>
      <c r="E902" s="150"/>
      <c r="F902" s="150"/>
      <c r="G902" s="151"/>
      <c r="H902" s="150"/>
      <c r="I902" s="150"/>
      <c r="J902" s="151"/>
      <c r="K902" s="151"/>
      <c r="L902" s="150"/>
      <c r="M902" s="151"/>
      <c r="N902" s="151"/>
      <c r="O902" s="151"/>
      <c r="P902" s="150"/>
      <c r="Q902" s="150"/>
      <c r="R902" s="158"/>
      <c r="S902" s="158"/>
      <c r="T902" s="158"/>
      <c r="U902" s="158"/>
      <c r="V902" s="1"/>
      <c r="W902" s="1"/>
      <c r="X902" s="157"/>
      <c r="Y902" s="157"/>
      <c r="Z902" s="157"/>
      <c r="AA902" s="157"/>
      <c r="AB902" s="157"/>
      <c r="AC902" s="151"/>
      <c r="AD902" s="151"/>
      <c r="AE902" s="151"/>
      <c r="AF902" s="157"/>
      <c r="AG902" s="157"/>
      <c r="AH902" s="157"/>
      <c r="AI902" s="157"/>
      <c r="AJ902" s="157"/>
      <c r="AK902" s="157"/>
      <c r="AL902" s="157"/>
      <c r="AM902" s="157"/>
      <c r="AN902" s="159"/>
      <c r="AO902" s="159"/>
      <c r="AP902" s="160"/>
      <c r="AQ902" s="160"/>
      <c r="AR902" s="160"/>
      <c r="AS902" s="159"/>
      <c r="AT902" s="159"/>
      <c r="AU902" s="161"/>
      <c r="AV902" s="157"/>
      <c r="AW902" s="157"/>
      <c r="AX902" s="157"/>
      <c r="AY902" s="157"/>
      <c r="AZ902" s="157"/>
      <c r="BA902" s="157"/>
      <c r="BB902" s="157"/>
      <c r="BC902" s="151"/>
      <c r="BD902" s="157"/>
      <c r="BE902" s="157"/>
      <c r="BF902" s="157"/>
      <c r="BG902" s="157"/>
      <c r="BH902" s="157"/>
      <c r="BI902" s="157"/>
      <c r="BJ902" s="353"/>
      <c r="BK902" s="353"/>
      <c r="BL902" s="353"/>
      <c r="BM902" s="14"/>
      <c r="BN902" s="14"/>
      <c r="BO902" s="14"/>
    </row>
    <row r="903" spans="1:67" ht="20.100000000000001" customHeight="1">
      <c r="A903" s="157"/>
      <c r="B903" s="1"/>
      <c r="C903" s="157"/>
      <c r="D903" s="1"/>
      <c r="E903" s="150"/>
      <c r="F903" s="150"/>
      <c r="G903" s="151"/>
      <c r="H903" s="150"/>
      <c r="I903" s="150"/>
      <c r="J903" s="151"/>
      <c r="K903" s="151"/>
      <c r="L903" s="150"/>
      <c r="M903" s="151"/>
      <c r="N903" s="151"/>
      <c r="O903" s="151"/>
      <c r="P903" s="150"/>
      <c r="Q903" s="150"/>
      <c r="R903" s="158"/>
      <c r="S903" s="158"/>
      <c r="T903" s="158"/>
      <c r="U903" s="158"/>
      <c r="V903" s="1"/>
      <c r="W903" s="1"/>
      <c r="X903" s="157"/>
      <c r="Y903" s="157"/>
      <c r="Z903" s="157"/>
      <c r="AA903" s="157"/>
      <c r="AB903" s="157"/>
      <c r="AC903" s="151"/>
      <c r="AD903" s="151"/>
      <c r="AE903" s="151"/>
      <c r="AF903" s="157"/>
      <c r="AG903" s="157"/>
      <c r="AH903" s="157"/>
      <c r="AI903" s="157"/>
      <c r="AJ903" s="157"/>
      <c r="AK903" s="157"/>
      <c r="AL903" s="157"/>
      <c r="AM903" s="157"/>
      <c r="AN903" s="159"/>
      <c r="AO903" s="159"/>
      <c r="AP903" s="160"/>
      <c r="AQ903" s="160"/>
      <c r="AR903" s="160"/>
      <c r="AS903" s="159"/>
      <c r="AT903" s="159"/>
      <c r="AU903" s="161"/>
      <c r="AV903" s="157"/>
      <c r="AW903" s="157"/>
      <c r="AX903" s="157"/>
      <c r="AY903" s="157"/>
      <c r="AZ903" s="157"/>
      <c r="BA903" s="157"/>
      <c r="BB903" s="157"/>
      <c r="BC903" s="151"/>
      <c r="BD903" s="157"/>
      <c r="BE903" s="157"/>
      <c r="BF903" s="157"/>
      <c r="BG903" s="157"/>
      <c r="BH903" s="157"/>
      <c r="BI903" s="157"/>
      <c r="BJ903" s="353"/>
      <c r="BK903" s="353"/>
      <c r="BL903" s="353"/>
      <c r="BM903" s="14"/>
      <c r="BN903" s="14"/>
      <c r="BO903" s="14"/>
    </row>
    <row r="904" spans="1:67" ht="20.100000000000001" customHeight="1">
      <c r="A904" s="157"/>
      <c r="B904" s="1"/>
      <c r="C904" s="157"/>
      <c r="D904" s="1"/>
      <c r="E904" s="150"/>
      <c r="F904" s="150"/>
      <c r="G904" s="151"/>
      <c r="H904" s="150"/>
      <c r="I904" s="150"/>
      <c r="J904" s="151"/>
      <c r="K904" s="151"/>
      <c r="L904" s="150"/>
      <c r="M904" s="151"/>
      <c r="N904" s="151"/>
      <c r="O904" s="151"/>
      <c r="P904" s="150"/>
      <c r="Q904" s="150"/>
      <c r="R904" s="158"/>
      <c r="S904" s="158"/>
      <c r="T904" s="158"/>
      <c r="U904" s="158"/>
      <c r="V904" s="1"/>
      <c r="W904" s="1"/>
      <c r="X904" s="157"/>
      <c r="Y904" s="157"/>
      <c r="Z904" s="157"/>
      <c r="AA904" s="157"/>
      <c r="AB904" s="157"/>
      <c r="AC904" s="151"/>
      <c r="AD904" s="151"/>
      <c r="AE904" s="151"/>
      <c r="AF904" s="157"/>
      <c r="AG904" s="157"/>
      <c r="AH904" s="157"/>
      <c r="AI904" s="157"/>
      <c r="AJ904" s="157"/>
      <c r="AK904" s="157"/>
      <c r="AL904" s="157"/>
      <c r="AM904" s="157"/>
      <c r="AN904" s="159"/>
      <c r="AO904" s="159"/>
      <c r="AP904" s="160"/>
      <c r="AQ904" s="160"/>
      <c r="AR904" s="160"/>
      <c r="AS904" s="159"/>
      <c r="AT904" s="159"/>
      <c r="AU904" s="161"/>
      <c r="AV904" s="157"/>
      <c r="AW904" s="157"/>
      <c r="AX904" s="157"/>
      <c r="AY904" s="157"/>
      <c r="AZ904" s="157"/>
      <c r="BA904" s="157"/>
      <c r="BB904" s="157"/>
      <c r="BC904" s="151"/>
      <c r="BD904" s="157"/>
      <c r="BE904" s="157"/>
      <c r="BF904" s="157"/>
      <c r="BG904" s="157"/>
      <c r="BH904" s="157"/>
      <c r="BI904" s="157"/>
      <c r="BJ904" s="353"/>
      <c r="BK904" s="353"/>
      <c r="BL904" s="353"/>
      <c r="BM904" s="14"/>
      <c r="BN904" s="14"/>
      <c r="BO904" s="14"/>
    </row>
    <row r="905" spans="1:67" ht="20.100000000000001" customHeight="1">
      <c r="A905" s="157"/>
      <c r="B905" s="1"/>
      <c r="C905" s="157"/>
      <c r="D905" s="1"/>
      <c r="E905" s="150"/>
      <c r="F905" s="150"/>
      <c r="G905" s="151"/>
      <c r="H905" s="150"/>
      <c r="I905" s="150"/>
      <c r="J905" s="151"/>
      <c r="K905" s="151"/>
      <c r="L905" s="150"/>
      <c r="M905" s="151"/>
      <c r="N905" s="151"/>
      <c r="O905" s="151"/>
      <c r="P905" s="150"/>
      <c r="Q905" s="150"/>
      <c r="R905" s="158"/>
      <c r="S905" s="158"/>
      <c r="T905" s="158"/>
      <c r="U905" s="158"/>
      <c r="V905" s="1"/>
      <c r="W905" s="1"/>
      <c r="X905" s="157"/>
      <c r="Y905" s="157"/>
      <c r="Z905" s="157"/>
      <c r="AA905" s="157"/>
      <c r="AB905" s="157"/>
      <c r="AC905" s="151"/>
      <c r="AD905" s="151"/>
      <c r="AE905" s="151"/>
      <c r="AF905" s="157"/>
      <c r="AG905" s="157"/>
      <c r="AH905" s="157"/>
      <c r="AI905" s="157"/>
      <c r="AJ905" s="157"/>
      <c r="AK905" s="157"/>
      <c r="AL905" s="157"/>
      <c r="AM905" s="157"/>
      <c r="AN905" s="159"/>
      <c r="AO905" s="159"/>
      <c r="AP905" s="160"/>
      <c r="AQ905" s="160"/>
      <c r="AR905" s="160"/>
      <c r="AS905" s="159"/>
      <c r="AT905" s="159"/>
      <c r="AU905" s="161"/>
      <c r="AV905" s="157"/>
      <c r="AW905" s="157"/>
      <c r="AX905" s="157"/>
      <c r="AY905" s="157"/>
      <c r="AZ905" s="157"/>
      <c r="BA905" s="157"/>
      <c r="BB905" s="157"/>
      <c r="BC905" s="151"/>
      <c r="BD905" s="157"/>
      <c r="BE905" s="157"/>
      <c r="BF905" s="157"/>
      <c r="BG905" s="157"/>
      <c r="BH905" s="157"/>
      <c r="BI905" s="157"/>
      <c r="BJ905" s="353"/>
      <c r="BK905" s="353"/>
      <c r="BL905" s="353"/>
      <c r="BM905" s="14"/>
      <c r="BN905" s="14"/>
      <c r="BO905" s="14"/>
    </row>
    <row r="906" spans="1:67" ht="20.100000000000001" customHeight="1">
      <c r="A906" s="157"/>
      <c r="B906" s="1"/>
      <c r="C906" s="157"/>
      <c r="D906" s="1"/>
      <c r="E906" s="150"/>
      <c r="F906" s="150"/>
      <c r="G906" s="151"/>
      <c r="H906" s="150"/>
      <c r="I906" s="150"/>
      <c r="J906" s="151"/>
      <c r="K906" s="151"/>
      <c r="L906" s="150"/>
      <c r="M906" s="151"/>
      <c r="N906" s="151"/>
      <c r="O906" s="151"/>
      <c r="P906" s="150"/>
      <c r="Q906" s="150"/>
      <c r="R906" s="158"/>
      <c r="S906" s="158"/>
      <c r="T906" s="158"/>
      <c r="U906" s="158"/>
      <c r="V906" s="1"/>
      <c r="W906" s="1"/>
      <c r="X906" s="157"/>
      <c r="Y906" s="157"/>
      <c r="Z906" s="157"/>
      <c r="AA906" s="157"/>
      <c r="AB906" s="157"/>
      <c r="AC906" s="151"/>
      <c r="AD906" s="151"/>
      <c r="AE906" s="151"/>
      <c r="AF906" s="157"/>
      <c r="AG906" s="157"/>
      <c r="AH906" s="157"/>
      <c r="AI906" s="157"/>
      <c r="AJ906" s="157"/>
      <c r="AK906" s="157"/>
      <c r="AL906" s="157"/>
      <c r="AM906" s="157"/>
      <c r="AN906" s="159"/>
      <c r="AO906" s="159"/>
      <c r="AP906" s="160"/>
      <c r="AQ906" s="160"/>
      <c r="AR906" s="160"/>
      <c r="AS906" s="159"/>
      <c r="AT906" s="159"/>
      <c r="AU906" s="161"/>
      <c r="AV906" s="157"/>
      <c r="AW906" s="157"/>
      <c r="AX906" s="157"/>
      <c r="AY906" s="157"/>
      <c r="AZ906" s="157"/>
      <c r="BA906" s="157"/>
      <c r="BB906" s="157"/>
      <c r="BC906" s="151"/>
      <c r="BD906" s="157"/>
      <c r="BE906" s="157"/>
      <c r="BF906" s="157"/>
      <c r="BG906" s="157"/>
      <c r="BH906" s="157"/>
      <c r="BI906" s="157"/>
      <c r="BJ906" s="353"/>
      <c r="BK906" s="353"/>
      <c r="BL906" s="353"/>
      <c r="BM906" s="14"/>
      <c r="BN906" s="14"/>
      <c r="BO906" s="14"/>
    </row>
    <row r="907" spans="1:67" ht="20.100000000000001" customHeight="1">
      <c r="A907" s="157"/>
      <c r="B907" s="1"/>
      <c r="C907" s="157"/>
      <c r="D907" s="1"/>
      <c r="E907" s="150"/>
      <c r="F907" s="150"/>
      <c r="G907" s="151"/>
      <c r="H907" s="150"/>
      <c r="I907" s="150"/>
      <c r="J907" s="151"/>
      <c r="K907" s="151"/>
      <c r="L907" s="150"/>
      <c r="M907" s="151"/>
      <c r="N907" s="151"/>
      <c r="O907" s="151"/>
      <c r="P907" s="150"/>
      <c r="Q907" s="150"/>
      <c r="R907" s="158"/>
      <c r="S907" s="158"/>
      <c r="T907" s="158"/>
      <c r="U907" s="158"/>
      <c r="V907" s="1"/>
      <c r="W907" s="1"/>
      <c r="X907" s="157"/>
      <c r="Y907" s="157"/>
      <c r="Z907" s="157"/>
      <c r="AA907" s="157"/>
      <c r="AB907" s="157"/>
      <c r="AC907" s="151"/>
      <c r="AD907" s="151"/>
      <c r="AE907" s="151"/>
      <c r="AF907" s="157"/>
      <c r="AG907" s="157"/>
      <c r="AH907" s="157"/>
      <c r="AI907" s="157"/>
      <c r="AJ907" s="157"/>
      <c r="AK907" s="157"/>
      <c r="AL907" s="157"/>
      <c r="AM907" s="157"/>
      <c r="AN907" s="159"/>
      <c r="AO907" s="159"/>
      <c r="AP907" s="160"/>
      <c r="AQ907" s="160"/>
      <c r="AR907" s="160"/>
      <c r="AS907" s="159"/>
      <c r="AT907" s="159"/>
      <c r="AU907" s="161"/>
      <c r="AV907" s="157"/>
      <c r="AW907" s="157"/>
      <c r="AX907" s="157"/>
      <c r="AY907" s="157"/>
      <c r="AZ907" s="157"/>
      <c r="BA907" s="157"/>
      <c r="BB907" s="157"/>
      <c r="BC907" s="151"/>
      <c r="BD907" s="157"/>
      <c r="BE907" s="157"/>
      <c r="BF907" s="157"/>
      <c r="BG907" s="157"/>
      <c r="BH907" s="157"/>
      <c r="BI907" s="157"/>
      <c r="BJ907" s="353"/>
      <c r="BK907" s="353"/>
      <c r="BL907" s="353"/>
      <c r="BM907" s="14"/>
      <c r="BN907" s="14"/>
      <c r="BO907" s="14"/>
    </row>
    <row r="908" spans="1:67" ht="20.100000000000001" customHeight="1">
      <c r="A908" s="157"/>
      <c r="B908" s="1"/>
      <c r="C908" s="157"/>
      <c r="D908" s="1"/>
      <c r="E908" s="150"/>
      <c r="F908" s="150"/>
      <c r="G908" s="151"/>
      <c r="H908" s="150"/>
      <c r="I908" s="150"/>
      <c r="J908" s="151"/>
      <c r="K908" s="151"/>
      <c r="L908" s="150"/>
      <c r="M908" s="151"/>
      <c r="N908" s="151"/>
      <c r="O908" s="151"/>
      <c r="P908" s="150"/>
      <c r="Q908" s="150"/>
      <c r="R908" s="158"/>
      <c r="S908" s="158"/>
      <c r="T908" s="158"/>
      <c r="U908" s="158"/>
      <c r="V908" s="1"/>
      <c r="W908" s="1"/>
      <c r="X908" s="157"/>
      <c r="Y908" s="157"/>
      <c r="Z908" s="157"/>
      <c r="AA908" s="157"/>
      <c r="AB908" s="157"/>
      <c r="AC908" s="151"/>
      <c r="AD908" s="151"/>
      <c r="AE908" s="151"/>
      <c r="AF908" s="157"/>
      <c r="AG908" s="157"/>
      <c r="AH908" s="157"/>
      <c r="AI908" s="157"/>
      <c r="AJ908" s="157"/>
      <c r="AK908" s="157"/>
      <c r="AL908" s="157"/>
      <c r="AM908" s="157"/>
      <c r="AN908" s="159"/>
      <c r="AO908" s="159"/>
      <c r="AP908" s="160"/>
      <c r="AQ908" s="160"/>
      <c r="AR908" s="160"/>
      <c r="AS908" s="159"/>
      <c r="AT908" s="159"/>
      <c r="AU908" s="161"/>
      <c r="AV908" s="157"/>
      <c r="AW908" s="157"/>
      <c r="AX908" s="157"/>
      <c r="AY908" s="157"/>
      <c r="AZ908" s="157"/>
      <c r="BA908" s="157"/>
      <c r="BB908" s="157"/>
      <c r="BC908" s="151"/>
      <c r="BD908" s="157"/>
      <c r="BE908" s="157"/>
      <c r="BF908" s="157"/>
      <c r="BG908" s="157"/>
      <c r="BH908" s="157"/>
      <c r="BI908" s="157"/>
      <c r="BJ908" s="353"/>
      <c r="BK908" s="353"/>
      <c r="BL908" s="353"/>
      <c r="BM908" s="14"/>
      <c r="BN908" s="14"/>
      <c r="BO908" s="14"/>
    </row>
    <row r="909" spans="1:67" ht="20.100000000000001" customHeight="1">
      <c r="A909" s="157"/>
      <c r="B909" s="1"/>
      <c r="C909" s="157"/>
      <c r="D909" s="1"/>
      <c r="E909" s="150"/>
      <c r="F909" s="150"/>
      <c r="G909" s="151"/>
      <c r="H909" s="150"/>
      <c r="I909" s="150"/>
      <c r="J909" s="151"/>
      <c r="K909" s="151"/>
      <c r="L909" s="150"/>
      <c r="M909" s="151"/>
      <c r="N909" s="151"/>
      <c r="O909" s="151"/>
      <c r="P909" s="150"/>
      <c r="Q909" s="150"/>
      <c r="R909" s="158"/>
      <c r="S909" s="158"/>
      <c r="T909" s="158"/>
      <c r="U909" s="158"/>
      <c r="V909" s="1"/>
      <c r="W909" s="1"/>
      <c r="X909" s="157"/>
      <c r="Y909" s="157"/>
      <c r="Z909" s="157"/>
      <c r="AA909" s="157"/>
      <c r="AB909" s="157"/>
      <c r="AC909" s="151"/>
      <c r="AD909" s="151"/>
      <c r="AE909" s="151"/>
      <c r="AF909" s="157"/>
      <c r="AG909" s="157"/>
      <c r="AH909" s="157"/>
      <c r="AI909" s="157"/>
      <c r="AJ909" s="157"/>
      <c r="AK909" s="157"/>
      <c r="AL909" s="157"/>
      <c r="AM909" s="157"/>
      <c r="AN909" s="159"/>
      <c r="AO909" s="159"/>
      <c r="AP909" s="160"/>
      <c r="AQ909" s="160"/>
      <c r="AR909" s="160"/>
      <c r="AS909" s="159"/>
      <c r="AT909" s="159"/>
      <c r="AU909" s="161"/>
      <c r="AV909" s="157"/>
      <c r="AW909" s="157"/>
      <c r="AX909" s="157"/>
      <c r="AY909" s="157"/>
      <c r="AZ909" s="157"/>
      <c r="BA909" s="157"/>
      <c r="BB909" s="157"/>
      <c r="BC909" s="151"/>
      <c r="BD909" s="157"/>
      <c r="BE909" s="157"/>
      <c r="BF909" s="157"/>
      <c r="BG909" s="157"/>
      <c r="BH909" s="157"/>
      <c r="BI909" s="157"/>
      <c r="BJ909" s="353"/>
      <c r="BK909" s="353"/>
      <c r="BL909" s="353"/>
      <c r="BM909" s="14"/>
      <c r="BN909" s="14"/>
      <c r="BO909" s="14"/>
    </row>
    <row r="910" spans="1:67" ht="20.100000000000001" customHeight="1">
      <c r="A910" s="157"/>
      <c r="B910" s="1"/>
      <c r="C910" s="157"/>
      <c r="D910" s="1"/>
      <c r="E910" s="150"/>
      <c r="F910" s="150"/>
      <c r="G910" s="151"/>
      <c r="H910" s="150"/>
      <c r="I910" s="150"/>
      <c r="J910" s="151"/>
      <c r="K910" s="151"/>
      <c r="L910" s="150"/>
      <c r="M910" s="151"/>
      <c r="N910" s="151"/>
      <c r="O910" s="151"/>
      <c r="P910" s="150"/>
      <c r="Q910" s="150"/>
      <c r="R910" s="158"/>
      <c r="S910" s="158"/>
      <c r="T910" s="158"/>
      <c r="U910" s="158"/>
      <c r="V910" s="1"/>
      <c r="W910" s="1"/>
      <c r="X910" s="157"/>
      <c r="Y910" s="157"/>
      <c r="Z910" s="157"/>
      <c r="AA910" s="157"/>
      <c r="AB910" s="157"/>
      <c r="AC910" s="151"/>
      <c r="AD910" s="151"/>
      <c r="AE910" s="151"/>
      <c r="AF910" s="157"/>
      <c r="AG910" s="157"/>
      <c r="AH910" s="157"/>
      <c r="AI910" s="157"/>
      <c r="AJ910" s="157"/>
      <c r="AK910" s="157"/>
      <c r="AL910" s="157"/>
      <c r="AM910" s="157"/>
      <c r="AN910" s="159"/>
      <c r="AO910" s="159"/>
      <c r="AP910" s="160"/>
      <c r="AQ910" s="160"/>
      <c r="AR910" s="160"/>
      <c r="AS910" s="159"/>
      <c r="AT910" s="159"/>
      <c r="AU910" s="161"/>
      <c r="AV910" s="157"/>
      <c r="AW910" s="157"/>
      <c r="AX910" s="157"/>
      <c r="AY910" s="157"/>
      <c r="AZ910" s="157"/>
      <c r="BA910" s="157"/>
      <c r="BB910" s="157"/>
      <c r="BC910" s="151"/>
      <c r="BD910" s="157"/>
      <c r="BE910" s="157"/>
      <c r="BF910" s="157"/>
      <c r="BG910" s="157"/>
      <c r="BH910" s="157"/>
      <c r="BI910" s="157"/>
      <c r="BJ910" s="353"/>
      <c r="BK910" s="353"/>
      <c r="BL910" s="353"/>
      <c r="BM910" s="14"/>
      <c r="BN910" s="14"/>
      <c r="BO910" s="14"/>
    </row>
    <row r="911" spans="1:67" ht="20.100000000000001" customHeight="1">
      <c r="A911" s="157"/>
      <c r="B911" s="1"/>
      <c r="C911" s="157"/>
      <c r="D911" s="1"/>
      <c r="E911" s="150"/>
      <c r="F911" s="150"/>
      <c r="G911" s="151"/>
      <c r="H911" s="150"/>
      <c r="I911" s="150"/>
      <c r="J911" s="151"/>
      <c r="K911" s="151"/>
      <c r="L911" s="150"/>
      <c r="M911" s="151"/>
      <c r="N911" s="151"/>
      <c r="O911" s="151"/>
      <c r="P911" s="150"/>
      <c r="Q911" s="150"/>
      <c r="R911" s="158"/>
      <c r="S911" s="158"/>
      <c r="T911" s="158"/>
      <c r="U911" s="158"/>
      <c r="V911" s="1"/>
      <c r="W911" s="1"/>
      <c r="X911" s="157"/>
      <c r="Y911" s="157"/>
      <c r="Z911" s="157"/>
      <c r="AA911" s="157"/>
      <c r="AB911" s="157"/>
      <c r="AC911" s="151"/>
      <c r="AD911" s="151"/>
      <c r="AE911" s="151"/>
      <c r="AF911" s="157"/>
      <c r="AG911" s="157"/>
      <c r="AH911" s="157"/>
      <c r="AI911" s="157"/>
      <c r="AJ911" s="157"/>
      <c r="AK911" s="157"/>
      <c r="AL911" s="157"/>
      <c r="AM911" s="157"/>
      <c r="AN911" s="159"/>
      <c r="AO911" s="159"/>
      <c r="AP911" s="160"/>
      <c r="AQ911" s="160"/>
      <c r="AR911" s="160"/>
      <c r="AS911" s="159"/>
      <c r="AT911" s="159"/>
      <c r="AU911" s="161"/>
      <c r="AV911" s="157"/>
      <c r="AW911" s="157"/>
      <c r="AX911" s="157"/>
      <c r="AY911" s="157"/>
      <c r="AZ911" s="157"/>
      <c r="BA911" s="157"/>
      <c r="BB911" s="157"/>
      <c r="BC911" s="151"/>
      <c r="BD911" s="157"/>
      <c r="BE911" s="157"/>
      <c r="BF911" s="157"/>
      <c r="BG911" s="157"/>
      <c r="BH911" s="157"/>
      <c r="BI911" s="157"/>
      <c r="BJ911" s="353"/>
      <c r="BK911" s="353"/>
      <c r="BL911" s="353"/>
      <c r="BM911" s="14"/>
      <c r="BN911" s="14"/>
      <c r="BO911" s="14"/>
    </row>
    <row r="912" spans="1:67" ht="20.100000000000001" customHeight="1">
      <c r="A912" s="157"/>
      <c r="B912" s="1"/>
      <c r="C912" s="157"/>
      <c r="D912" s="1"/>
      <c r="E912" s="150"/>
      <c r="F912" s="150"/>
      <c r="G912" s="151"/>
      <c r="H912" s="150"/>
      <c r="I912" s="150"/>
      <c r="J912" s="151"/>
      <c r="K912" s="151"/>
      <c r="L912" s="150"/>
      <c r="M912" s="151"/>
      <c r="N912" s="151"/>
      <c r="O912" s="151"/>
      <c r="P912" s="150"/>
      <c r="Q912" s="150"/>
      <c r="R912" s="158"/>
      <c r="S912" s="158"/>
      <c r="T912" s="158"/>
      <c r="U912" s="158"/>
      <c r="V912" s="1"/>
      <c r="W912" s="1"/>
      <c r="X912" s="157"/>
      <c r="Y912" s="157"/>
      <c r="Z912" s="157"/>
      <c r="AA912" s="157"/>
      <c r="AB912" s="157"/>
      <c r="AC912" s="151"/>
      <c r="AD912" s="151"/>
      <c r="AE912" s="151"/>
      <c r="AF912" s="157"/>
      <c r="AG912" s="157"/>
      <c r="AH912" s="157"/>
      <c r="AI912" s="157"/>
      <c r="AJ912" s="157"/>
      <c r="AK912" s="157"/>
      <c r="AL912" s="157"/>
      <c r="AM912" s="157"/>
      <c r="AN912" s="159"/>
      <c r="AO912" s="159"/>
      <c r="AP912" s="160"/>
      <c r="AQ912" s="160"/>
      <c r="AR912" s="160"/>
      <c r="AS912" s="159"/>
      <c r="AT912" s="159"/>
      <c r="AU912" s="161"/>
      <c r="AV912" s="157"/>
      <c r="AW912" s="157"/>
      <c r="AX912" s="157"/>
      <c r="AY912" s="157"/>
      <c r="AZ912" s="157"/>
      <c r="BA912" s="157"/>
      <c r="BB912" s="157"/>
      <c r="BC912" s="151"/>
      <c r="BD912" s="157"/>
      <c r="BE912" s="157"/>
      <c r="BF912" s="157"/>
      <c r="BG912" s="157"/>
      <c r="BH912" s="157"/>
      <c r="BI912" s="157"/>
      <c r="BJ912" s="353"/>
      <c r="BK912" s="353"/>
      <c r="BL912" s="353"/>
      <c r="BM912" s="14"/>
      <c r="BN912" s="14"/>
      <c r="BO912" s="14"/>
    </row>
    <row r="913" spans="1:67" ht="20.100000000000001" customHeight="1">
      <c r="A913" s="157"/>
      <c r="B913" s="1"/>
      <c r="C913" s="157"/>
      <c r="D913" s="1"/>
      <c r="E913" s="150"/>
      <c r="F913" s="150"/>
      <c r="G913" s="151"/>
      <c r="H913" s="150"/>
      <c r="I913" s="150"/>
      <c r="J913" s="151"/>
      <c r="K913" s="151"/>
      <c r="L913" s="150"/>
      <c r="M913" s="151"/>
      <c r="N913" s="151"/>
      <c r="O913" s="151"/>
      <c r="P913" s="150"/>
      <c r="Q913" s="150"/>
      <c r="R913" s="158"/>
      <c r="S913" s="158"/>
      <c r="T913" s="158"/>
      <c r="U913" s="158"/>
      <c r="V913" s="1"/>
      <c r="W913" s="1"/>
      <c r="X913" s="157"/>
      <c r="Y913" s="157"/>
      <c r="Z913" s="157"/>
      <c r="AA913" s="157"/>
      <c r="AB913" s="157"/>
      <c r="AC913" s="151"/>
      <c r="AD913" s="151"/>
      <c r="AE913" s="151"/>
      <c r="AF913" s="157"/>
      <c r="AG913" s="157"/>
      <c r="AH913" s="157"/>
      <c r="AI913" s="157"/>
      <c r="AJ913" s="157"/>
      <c r="AK913" s="157"/>
      <c r="AL913" s="157"/>
      <c r="AM913" s="157"/>
      <c r="AN913" s="159"/>
      <c r="AO913" s="159"/>
      <c r="AP913" s="160"/>
      <c r="AQ913" s="160"/>
      <c r="AR913" s="160"/>
      <c r="AS913" s="159"/>
      <c r="AT913" s="159"/>
      <c r="AU913" s="161"/>
      <c r="AV913" s="157"/>
      <c r="AW913" s="157"/>
      <c r="AX913" s="157"/>
      <c r="AY913" s="157"/>
      <c r="AZ913" s="157"/>
      <c r="BA913" s="157"/>
      <c r="BB913" s="157"/>
      <c r="BC913" s="151"/>
      <c r="BD913" s="157"/>
      <c r="BE913" s="157"/>
      <c r="BF913" s="157"/>
      <c r="BG913" s="157"/>
      <c r="BH913" s="157"/>
      <c r="BI913" s="157"/>
      <c r="BJ913" s="353"/>
      <c r="BK913" s="353"/>
      <c r="BL913" s="353"/>
      <c r="BM913" s="14"/>
      <c r="BN913" s="14"/>
      <c r="BO913" s="14"/>
    </row>
    <row r="914" spans="1:67" ht="20.100000000000001" customHeight="1">
      <c r="A914" s="157"/>
      <c r="B914" s="1"/>
      <c r="C914" s="157"/>
      <c r="D914" s="1"/>
      <c r="E914" s="150"/>
      <c r="F914" s="150"/>
      <c r="G914" s="151"/>
      <c r="H914" s="150"/>
      <c r="I914" s="150"/>
      <c r="J914" s="151"/>
      <c r="K914" s="151"/>
      <c r="L914" s="150"/>
      <c r="M914" s="151"/>
      <c r="N914" s="151"/>
      <c r="O914" s="151"/>
      <c r="P914" s="150"/>
      <c r="Q914" s="150"/>
      <c r="R914" s="158"/>
      <c r="S914" s="158"/>
      <c r="T914" s="158"/>
      <c r="U914" s="158"/>
      <c r="V914" s="1"/>
      <c r="W914" s="1"/>
      <c r="X914" s="157"/>
      <c r="Y914" s="157"/>
      <c r="Z914" s="157"/>
      <c r="AA914" s="157"/>
      <c r="AB914" s="157"/>
      <c r="AC914" s="151"/>
      <c r="AD914" s="151"/>
      <c r="AE914" s="151"/>
      <c r="AF914" s="157"/>
      <c r="AG914" s="157"/>
      <c r="AH914" s="157"/>
      <c r="AI914" s="157"/>
      <c r="AJ914" s="157"/>
      <c r="AK914" s="157"/>
      <c r="AL914" s="157"/>
      <c r="AM914" s="157"/>
      <c r="AN914" s="159"/>
      <c r="AO914" s="159"/>
      <c r="AP914" s="160"/>
      <c r="AQ914" s="160"/>
      <c r="AR914" s="160"/>
      <c r="AS914" s="159"/>
      <c r="AT914" s="159"/>
      <c r="AU914" s="161"/>
      <c r="AV914" s="157"/>
      <c r="AW914" s="157"/>
      <c r="AX914" s="157"/>
      <c r="AY914" s="157"/>
      <c r="AZ914" s="157"/>
      <c r="BA914" s="157"/>
      <c r="BB914" s="157"/>
      <c r="BC914" s="151"/>
      <c r="BD914" s="157"/>
      <c r="BE914" s="157"/>
      <c r="BF914" s="157"/>
      <c r="BG914" s="157"/>
      <c r="BH914" s="157"/>
      <c r="BI914" s="157"/>
      <c r="BJ914" s="353"/>
      <c r="BK914" s="353"/>
      <c r="BL914" s="353"/>
      <c r="BM914" s="14"/>
      <c r="BN914" s="14"/>
      <c r="BO914" s="14"/>
    </row>
    <row r="915" spans="1:67" ht="20.100000000000001" customHeight="1">
      <c r="A915" s="157"/>
      <c r="B915" s="1"/>
      <c r="C915" s="157"/>
      <c r="D915" s="1"/>
      <c r="E915" s="150"/>
      <c r="F915" s="150"/>
      <c r="G915" s="151"/>
      <c r="H915" s="150"/>
      <c r="I915" s="150"/>
      <c r="J915" s="151"/>
      <c r="K915" s="151"/>
      <c r="L915" s="150"/>
      <c r="M915" s="151"/>
      <c r="N915" s="151"/>
      <c r="O915" s="151"/>
      <c r="P915" s="150"/>
      <c r="Q915" s="150"/>
      <c r="R915" s="158"/>
      <c r="S915" s="158"/>
      <c r="T915" s="158"/>
      <c r="U915" s="158"/>
      <c r="V915" s="1"/>
      <c r="W915" s="1"/>
      <c r="X915" s="157"/>
      <c r="Y915" s="157"/>
      <c r="Z915" s="157"/>
      <c r="AA915" s="157"/>
      <c r="AB915" s="157"/>
      <c r="AC915" s="151"/>
      <c r="AD915" s="151"/>
      <c r="AE915" s="151"/>
      <c r="AF915" s="157"/>
      <c r="AG915" s="157"/>
      <c r="AH915" s="157"/>
      <c r="AI915" s="157"/>
      <c r="AJ915" s="157"/>
      <c r="AK915" s="157"/>
      <c r="AL915" s="157"/>
      <c r="AM915" s="157"/>
      <c r="AN915" s="159"/>
      <c r="AO915" s="159"/>
      <c r="AP915" s="160"/>
      <c r="AQ915" s="160"/>
      <c r="AR915" s="160"/>
      <c r="AS915" s="159"/>
      <c r="AT915" s="159"/>
      <c r="AU915" s="161"/>
      <c r="AV915" s="157"/>
      <c r="AW915" s="157"/>
      <c r="AX915" s="157"/>
      <c r="AY915" s="157"/>
      <c r="AZ915" s="157"/>
      <c r="BA915" s="157"/>
      <c r="BB915" s="157"/>
      <c r="BC915" s="151"/>
      <c r="BD915" s="157"/>
      <c r="BE915" s="157"/>
      <c r="BF915" s="157"/>
      <c r="BG915" s="157"/>
      <c r="BH915" s="157"/>
      <c r="BI915" s="157"/>
      <c r="BJ915" s="353"/>
      <c r="BK915" s="353"/>
      <c r="BL915" s="353"/>
      <c r="BM915" s="14"/>
      <c r="BN915" s="14"/>
      <c r="BO915" s="14"/>
    </row>
    <row r="916" spans="1:67" ht="20.100000000000001" customHeight="1">
      <c r="A916" s="157"/>
      <c r="B916" s="1"/>
      <c r="C916" s="157"/>
      <c r="D916" s="1"/>
      <c r="E916" s="150"/>
      <c r="F916" s="150"/>
      <c r="G916" s="151"/>
      <c r="H916" s="150"/>
      <c r="I916" s="150"/>
      <c r="J916" s="151"/>
      <c r="K916" s="151"/>
      <c r="L916" s="150"/>
      <c r="M916" s="151"/>
      <c r="N916" s="151"/>
      <c r="O916" s="151"/>
      <c r="P916" s="150"/>
      <c r="Q916" s="150"/>
      <c r="R916" s="158"/>
      <c r="S916" s="158"/>
      <c r="T916" s="158"/>
      <c r="U916" s="158"/>
      <c r="V916" s="1"/>
      <c r="W916" s="1"/>
      <c r="X916" s="157"/>
      <c r="Y916" s="157"/>
      <c r="Z916" s="157"/>
      <c r="AA916" s="157"/>
      <c r="AB916" s="157"/>
      <c r="AC916" s="151"/>
      <c r="AD916" s="151"/>
      <c r="AE916" s="151"/>
      <c r="AF916" s="157"/>
      <c r="AG916" s="157"/>
      <c r="AH916" s="157"/>
      <c r="AI916" s="157"/>
      <c r="AJ916" s="157"/>
      <c r="AK916" s="157"/>
      <c r="AL916" s="157"/>
      <c r="AM916" s="157"/>
      <c r="AN916" s="159"/>
      <c r="AO916" s="159"/>
      <c r="AP916" s="160"/>
      <c r="AQ916" s="160"/>
      <c r="AR916" s="160"/>
      <c r="AS916" s="159"/>
      <c r="AT916" s="159"/>
      <c r="AU916" s="161"/>
      <c r="AV916" s="157"/>
      <c r="AW916" s="157"/>
      <c r="AX916" s="157"/>
      <c r="AY916" s="157"/>
      <c r="AZ916" s="157"/>
      <c r="BA916" s="157"/>
      <c r="BB916" s="157"/>
      <c r="BC916" s="151"/>
      <c r="BD916" s="157"/>
      <c r="BE916" s="157"/>
      <c r="BF916" s="157"/>
      <c r="BG916" s="157"/>
      <c r="BH916" s="157"/>
      <c r="BI916" s="157"/>
      <c r="BJ916" s="353"/>
      <c r="BK916" s="353"/>
      <c r="BL916" s="353"/>
      <c r="BM916" s="14"/>
      <c r="BN916" s="14"/>
      <c r="BO916" s="14"/>
    </row>
    <row r="917" spans="1:67" ht="20.100000000000001" customHeight="1">
      <c r="A917" s="157"/>
      <c r="B917" s="1"/>
      <c r="C917" s="157"/>
      <c r="D917" s="1"/>
      <c r="E917" s="150"/>
      <c r="F917" s="150"/>
      <c r="G917" s="151"/>
      <c r="H917" s="150"/>
      <c r="I917" s="150"/>
      <c r="J917" s="151"/>
      <c r="K917" s="151"/>
      <c r="L917" s="150"/>
      <c r="M917" s="151"/>
      <c r="N917" s="151"/>
      <c r="O917" s="151"/>
      <c r="P917" s="150"/>
      <c r="Q917" s="150"/>
      <c r="R917" s="158"/>
      <c r="S917" s="158"/>
      <c r="T917" s="158"/>
      <c r="U917" s="158"/>
      <c r="V917" s="1"/>
      <c r="W917" s="1"/>
      <c r="X917" s="157"/>
      <c r="Y917" s="157"/>
      <c r="Z917" s="157"/>
      <c r="AA917" s="157"/>
      <c r="AB917" s="157"/>
      <c r="AC917" s="151"/>
      <c r="AD917" s="151"/>
      <c r="AE917" s="151"/>
      <c r="AF917" s="157"/>
      <c r="AG917" s="157"/>
      <c r="AH917" s="157"/>
      <c r="AI917" s="157"/>
      <c r="AJ917" s="157"/>
      <c r="AK917" s="157"/>
      <c r="AL917" s="157"/>
      <c r="AM917" s="157"/>
      <c r="AN917" s="159"/>
      <c r="AO917" s="159"/>
      <c r="AP917" s="160"/>
      <c r="AQ917" s="160"/>
      <c r="AR917" s="160"/>
      <c r="AS917" s="159"/>
      <c r="AT917" s="159"/>
      <c r="AU917" s="161"/>
      <c r="AV917" s="157"/>
      <c r="AW917" s="157"/>
      <c r="AX917" s="157"/>
      <c r="AY917" s="157"/>
      <c r="AZ917" s="157"/>
      <c r="BA917" s="157"/>
      <c r="BB917" s="157"/>
      <c r="BC917" s="151"/>
      <c r="BD917" s="157"/>
      <c r="BE917" s="157"/>
      <c r="BF917" s="157"/>
      <c r="BG917" s="157"/>
      <c r="BH917" s="157"/>
      <c r="BI917" s="157"/>
      <c r="BJ917" s="353"/>
      <c r="BK917" s="353"/>
      <c r="BL917" s="353"/>
      <c r="BM917" s="14"/>
      <c r="BN917" s="14"/>
      <c r="BO917" s="14"/>
    </row>
    <row r="918" spans="1:67" ht="20.100000000000001" customHeight="1">
      <c r="A918" s="157"/>
      <c r="B918" s="1"/>
      <c r="C918" s="157"/>
      <c r="D918" s="1"/>
      <c r="E918" s="150"/>
      <c r="F918" s="150"/>
      <c r="G918" s="151"/>
      <c r="H918" s="150"/>
      <c r="I918" s="150"/>
      <c r="J918" s="151"/>
      <c r="K918" s="151"/>
      <c r="L918" s="150"/>
      <c r="M918" s="151"/>
      <c r="N918" s="151"/>
      <c r="O918" s="151"/>
      <c r="P918" s="150"/>
      <c r="Q918" s="150"/>
      <c r="R918" s="158"/>
      <c r="S918" s="158"/>
      <c r="T918" s="158"/>
      <c r="U918" s="158"/>
      <c r="V918" s="1"/>
      <c r="W918" s="1"/>
      <c r="X918" s="157"/>
      <c r="Y918" s="157"/>
      <c r="Z918" s="157"/>
      <c r="AA918" s="157"/>
      <c r="AB918" s="157"/>
      <c r="AC918" s="151"/>
      <c r="AD918" s="151"/>
      <c r="AE918" s="151"/>
      <c r="AF918" s="157"/>
      <c r="AG918" s="157"/>
      <c r="AH918" s="157"/>
      <c r="AI918" s="157"/>
      <c r="AJ918" s="157"/>
      <c r="AK918" s="157"/>
      <c r="AL918" s="157"/>
      <c r="AM918" s="157"/>
      <c r="AN918" s="159"/>
      <c r="AO918" s="159"/>
      <c r="AP918" s="160"/>
      <c r="AQ918" s="160"/>
      <c r="AR918" s="160"/>
      <c r="AS918" s="159"/>
      <c r="AT918" s="159"/>
      <c r="AU918" s="161"/>
      <c r="AV918" s="157"/>
      <c r="AW918" s="157"/>
      <c r="AX918" s="157"/>
      <c r="AY918" s="157"/>
      <c r="AZ918" s="157"/>
      <c r="BA918" s="157"/>
      <c r="BB918" s="157"/>
      <c r="BC918" s="151"/>
      <c r="BD918" s="157"/>
      <c r="BE918" s="157"/>
      <c r="BF918" s="157"/>
      <c r="BG918" s="157"/>
      <c r="BH918" s="157"/>
      <c r="BI918" s="157"/>
      <c r="BJ918" s="353"/>
      <c r="BK918" s="353"/>
      <c r="BL918" s="353"/>
      <c r="BM918" s="14"/>
      <c r="BN918" s="14"/>
      <c r="BO918" s="14"/>
    </row>
    <row r="919" spans="1:67" ht="20.100000000000001" customHeight="1">
      <c r="A919" s="157"/>
      <c r="B919" s="1"/>
      <c r="C919" s="157"/>
      <c r="D919" s="1"/>
      <c r="E919" s="150"/>
      <c r="F919" s="150"/>
      <c r="G919" s="151"/>
      <c r="H919" s="150"/>
      <c r="I919" s="150"/>
      <c r="J919" s="151"/>
      <c r="K919" s="151"/>
      <c r="L919" s="150"/>
      <c r="M919" s="151"/>
      <c r="N919" s="151"/>
      <c r="O919" s="151"/>
      <c r="P919" s="150"/>
      <c r="Q919" s="150"/>
      <c r="R919" s="158"/>
      <c r="S919" s="158"/>
      <c r="T919" s="158"/>
      <c r="U919" s="158"/>
      <c r="V919" s="1"/>
      <c r="W919" s="1"/>
      <c r="X919" s="157"/>
      <c r="Y919" s="157"/>
      <c r="Z919" s="157"/>
      <c r="AA919" s="157"/>
      <c r="AB919" s="157"/>
      <c r="AC919" s="151"/>
      <c r="AD919" s="151"/>
      <c r="AE919" s="151"/>
      <c r="AF919" s="157"/>
      <c r="AG919" s="157"/>
      <c r="AH919" s="157"/>
      <c r="AI919" s="157"/>
      <c r="AJ919" s="157"/>
      <c r="AK919" s="157"/>
      <c r="AL919" s="157"/>
      <c r="AM919" s="157"/>
      <c r="AN919" s="159"/>
      <c r="AO919" s="159"/>
      <c r="AP919" s="160"/>
      <c r="AQ919" s="160"/>
      <c r="AR919" s="160"/>
      <c r="AS919" s="159"/>
      <c r="AT919" s="159"/>
      <c r="AU919" s="161"/>
      <c r="AV919" s="157"/>
      <c r="AW919" s="157"/>
      <c r="AX919" s="157"/>
      <c r="AY919" s="157"/>
      <c r="AZ919" s="157"/>
      <c r="BA919" s="157"/>
      <c r="BB919" s="157"/>
      <c r="BC919" s="151"/>
      <c r="BD919" s="157"/>
      <c r="BE919" s="157"/>
      <c r="BF919" s="157"/>
      <c r="BG919" s="157"/>
      <c r="BH919" s="157"/>
      <c r="BI919" s="157"/>
      <c r="BJ919" s="353"/>
      <c r="BK919" s="353"/>
      <c r="BL919" s="353"/>
      <c r="BM919" s="14"/>
      <c r="BN919" s="14"/>
      <c r="BO919" s="14"/>
    </row>
    <row r="920" spans="1:67" ht="20.100000000000001" customHeight="1">
      <c r="A920" s="157"/>
      <c r="B920" s="1"/>
      <c r="C920" s="157"/>
      <c r="D920" s="1"/>
      <c r="E920" s="150"/>
      <c r="F920" s="150"/>
      <c r="G920" s="151"/>
      <c r="H920" s="150"/>
      <c r="I920" s="150"/>
      <c r="J920" s="151"/>
      <c r="K920" s="151"/>
      <c r="L920" s="150"/>
      <c r="M920" s="151"/>
      <c r="N920" s="151"/>
      <c r="O920" s="151"/>
      <c r="P920" s="150"/>
      <c r="Q920" s="150"/>
      <c r="R920" s="158"/>
      <c r="S920" s="158"/>
      <c r="T920" s="158"/>
      <c r="U920" s="158"/>
      <c r="V920" s="1"/>
      <c r="W920" s="1"/>
      <c r="X920" s="157"/>
      <c r="Y920" s="157"/>
      <c r="Z920" s="157"/>
      <c r="AA920" s="157"/>
      <c r="AB920" s="157"/>
      <c r="AC920" s="151"/>
      <c r="AD920" s="151"/>
      <c r="AE920" s="151"/>
      <c r="AF920" s="157"/>
      <c r="AG920" s="157"/>
      <c r="AH920" s="157"/>
      <c r="AI920" s="157"/>
      <c r="AJ920" s="157"/>
      <c r="AK920" s="157"/>
      <c r="AL920" s="157"/>
      <c r="AM920" s="157"/>
      <c r="AN920" s="159"/>
      <c r="AO920" s="159"/>
      <c r="AP920" s="160"/>
      <c r="AQ920" s="160"/>
      <c r="AR920" s="160"/>
      <c r="AS920" s="159"/>
      <c r="AT920" s="159"/>
      <c r="AU920" s="161"/>
      <c r="AV920" s="157"/>
      <c r="AW920" s="157"/>
      <c r="AX920" s="157"/>
      <c r="AY920" s="157"/>
      <c r="AZ920" s="157"/>
      <c r="BA920" s="157"/>
      <c r="BB920" s="157"/>
      <c r="BC920" s="151"/>
      <c r="BD920" s="157"/>
      <c r="BE920" s="157"/>
      <c r="BF920" s="157"/>
      <c r="BG920" s="157"/>
      <c r="BH920" s="157"/>
      <c r="BI920" s="157"/>
      <c r="BJ920" s="353"/>
      <c r="BK920" s="353"/>
      <c r="BL920" s="353"/>
      <c r="BM920" s="14"/>
      <c r="BN920" s="14"/>
      <c r="BO920" s="14"/>
    </row>
    <row r="921" spans="1:67" ht="20.100000000000001" customHeight="1">
      <c r="A921" s="157"/>
      <c r="B921" s="1"/>
      <c r="C921" s="157"/>
      <c r="D921" s="1"/>
      <c r="E921" s="150"/>
      <c r="F921" s="150"/>
      <c r="G921" s="151"/>
      <c r="H921" s="150"/>
      <c r="I921" s="150"/>
      <c r="J921" s="151"/>
      <c r="K921" s="151"/>
      <c r="L921" s="150"/>
      <c r="M921" s="151"/>
      <c r="N921" s="151"/>
      <c r="O921" s="151"/>
      <c r="P921" s="150"/>
      <c r="Q921" s="150"/>
      <c r="R921" s="158"/>
      <c r="S921" s="158"/>
      <c r="T921" s="158"/>
      <c r="U921" s="158"/>
      <c r="V921" s="1"/>
      <c r="W921" s="1"/>
      <c r="X921" s="157"/>
      <c r="Y921" s="157"/>
      <c r="Z921" s="157"/>
      <c r="AA921" s="157"/>
      <c r="AB921" s="157"/>
      <c r="AC921" s="151"/>
      <c r="AD921" s="151"/>
      <c r="AE921" s="151"/>
      <c r="AF921" s="157"/>
      <c r="AG921" s="157"/>
      <c r="AH921" s="157"/>
      <c r="AI921" s="157"/>
      <c r="AJ921" s="157"/>
      <c r="AK921" s="157"/>
      <c r="AL921" s="157"/>
      <c r="AM921" s="157"/>
      <c r="AN921" s="159"/>
      <c r="AO921" s="159"/>
      <c r="AP921" s="160"/>
      <c r="AQ921" s="160"/>
      <c r="AR921" s="160"/>
      <c r="AS921" s="159"/>
      <c r="AT921" s="159"/>
      <c r="AU921" s="161"/>
      <c r="AV921" s="157"/>
      <c r="AW921" s="157"/>
      <c r="AX921" s="157"/>
      <c r="AY921" s="157"/>
      <c r="AZ921" s="157"/>
      <c r="BA921" s="157"/>
      <c r="BB921" s="157"/>
      <c r="BC921" s="151"/>
      <c r="BD921" s="157"/>
      <c r="BE921" s="157"/>
      <c r="BF921" s="157"/>
      <c r="BG921" s="157"/>
      <c r="BH921" s="157"/>
      <c r="BI921" s="157"/>
      <c r="BJ921" s="353"/>
      <c r="BK921" s="353"/>
      <c r="BL921" s="353"/>
      <c r="BM921" s="14"/>
      <c r="BN921" s="14"/>
      <c r="BO921" s="14"/>
    </row>
    <row r="922" spans="1:67" ht="20.100000000000001" customHeight="1">
      <c r="A922" s="157"/>
      <c r="B922" s="1"/>
      <c r="C922" s="157"/>
      <c r="D922" s="1"/>
      <c r="E922" s="150"/>
      <c r="F922" s="150"/>
      <c r="G922" s="151"/>
      <c r="H922" s="150"/>
      <c r="I922" s="150"/>
      <c r="J922" s="151"/>
      <c r="K922" s="151"/>
      <c r="L922" s="150"/>
      <c r="M922" s="151"/>
      <c r="N922" s="151"/>
      <c r="O922" s="151"/>
      <c r="P922" s="150"/>
      <c r="Q922" s="150"/>
      <c r="R922" s="158"/>
      <c r="S922" s="158"/>
      <c r="T922" s="158"/>
      <c r="U922" s="158"/>
      <c r="V922" s="1"/>
      <c r="W922" s="1"/>
      <c r="X922" s="157"/>
      <c r="Y922" s="157"/>
      <c r="Z922" s="157"/>
      <c r="AA922" s="157"/>
      <c r="AB922" s="157"/>
      <c r="AC922" s="151"/>
      <c r="AD922" s="151"/>
      <c r="AE922" s="151"/>
      <c r="AF922" s="157"/>
      <c r="AG922" s="157"/>
      <c r="AH922" s="157"/>
      <c r="AI922" s="157"/>
      <c r="AJ922" s="157"/>
      <c r="AK922" s="157"/>
      <c r="AL922" s="157"/>
      <c r="AM922" s="157"/>
      <c r="AN922" s="159"/>
      <c r="AO922" s="159"/>
      <c r="AP922" s="160"/>
      <c r="AQ922" s="160"/>
      <c r="AR922" s="160"/>
      <c r="AS922" s="159"/>
      <c r="AT922" s="159"/>
      <c r="AU922" s="161"/>
      <c r="AV922" s="157"/>
      <c r="AW922" s="157"/>
      <c r="AX922" s="157"/>
      <c r="AY922" s="157"/>
      <c r="AZ922" s="157"/>
      <c r="BA922" s="157"/>
      <c r="BB922" s="157"/>
      <c r="BC922" s="151"/>
      <c r="BD922" s="157"/>
      <c r="BE922" s="157"/>
      <c r="BF922" s="157"/>
      <c r="BG922" s="157"/>
      <c r="BH922" s="157"/>
      <c r="BI922" s="157"/>
      <c r="BJ922" s="353"/>
      <c r="BK922" s="353"/>
      <c r="BL922" s="353"/>
      <c r="BM922" s="14"/>
      <c r="BN922" s="14"/>
      <c r="BO922" s="14"/>
    </row>
    <row r="923" spans="1:67" ht="20.100000000000001" customHeight="1">
      <c r="A923" s="157"/>
      <c r="B923" s="1"/>
      <c r="C923" s="157"/>
      <c r="D923" s="1"/>
      <c r="E923" s="150"/>
      <c r="F923" s="150"/>
      <c r="G923" s="151"/>
      <c r="H923" s="150"/>
      <c r="I923" s="150"/>
      <c r="J923" s="151"/>
      <c r="K923" s="151"/>
      <c r="L923" s="150"/>
      <c r="M923" s="151"/>
      <c r="N923" s="151"/>
      <c r="O923" s="151"/>
      <c r="P923" s="150"/>
      <c r="Q923" s="150"/>
      <c r="R923" s="158"/>
      <c r="S923" s="158"/>
      <c r="T923" s="158"/>
      <c r="U923" s="158"/>
      <c r="V923" s="1"/>
      <c r="W923" s="1"/>
      <c r="X923" s="157"/>
      <c r="Y923" s="157"/>
      <c r="Z923" s="157"/>
      <c r="AA923" s="157"/>
      <c r="AB923" s="157"/>
      <c r="AC923" s="151"/>
      <c r="AD923" s="151"/>
      <c r="AE923" s="151"/>
      <c r="AF923" s="157"/>
      <c r="AG923" s="157"/>
      <c r="AH923" s="157"/>
      <c r="AI923" s="157"/>
      <c r="AJ923" s="157"/>
      <c r="AK923" s="157"/>
      <c r="AL923" s="157"/>
      <c r="AM923" s="157"/>
      <c r="AN923" s="159"/>
      <c r="AO923" s="159"/>
      <c r="AP923" s="160"/>
      <c r="AQ923" s="160"/>
      <c r="AR923" s="160"/>
      <c r="AS923" s="159"/>
      <c r="AT923" s="159"/>
      <c r="AU923" s="161"/>
      <c r="AV923" s="157"/>
      <c r="AW923" s="157"/>
      <c r="AX923" s="157"/>
      <c r="AY923" s="157"/>
      <c r="AZ923" s="157"/>
      <c r="BA923" s="157"/>
      <c r="BB923" s="157"/>
      <c r="BC923" s="151"/>
      <c r="BD923" s="157"/>
      <c r="BE923" s="157"/>
      <c r="BF923" s="157"/>
      <c r="BG923" s="157"/>
      <c r="BH923" s="157"/>
      <c r="BI923" s="157"/>
      <c r="BJ923" s="353"/>
      <c r="BK923" s="353"/>
      <c r="BL923" s="353"/>
      <c r="BM923" s="14"/>
      <c r="BN923" s="14"/>
      <c r="BO923" s="14"/>
    </row>
    <row r="924" spans="1:67" ht="20.100000000000001" customHeight="1">
      <c r="A924" s="157"/>
      <c r="B924" s="1"/>
      <c r="C924" s="157"/>
      <c r="D924" s="1"/>
      <c r="E924" s="150"/>
      <c r="F924" s="150"/>
      <c r="G924" s="151"/>
      <c r="H924" s="150"/>
      <c r="I924" s="150"/>
      <c r="J924" s="151"/>
      <c r="K924" s="151"/>
      <c r="L924" s="150"/>
      <c r="M924" s="151"/>
      <c r="N924" s="151"/>
      <c r="O924" s="151"/>
      <c r="P924" s="150"/>
      <c r="Q924" s="150"/>
      <c r="R924" s="158"/>
      <c r="S924" s="158"/>
      <c r="T924" s="158"/>
      <c r="U924" s="158"/>
      <c r="V924" s="1"/>
      <c r="W924" s="1"/>
      <c r="X924" s="157"/>
      <c r="Y924" s="157"/>
      <c r="Z924" s="157"/>
      <c r="AA924" s="157"/>
      <c r="AB924" s="157"/>
      <c r="AC924" s="151"/>
      <c r="AD924" s="151"/>
      <c r="AE924" s="151"/>
      <c r="AF924" s="157"/>
      <c r="AG924" s="157"/>
      <c r="AH924" s="157"/>
      <c r="AI924" s="157"/>
      <c r="AJ924" s="157"/>
      <c r="AK924" s="157"/>
      <c r="AL924" s="157"/>
      <c r="AM924" s="157"/>
      <c r="AN924" s="159"/>
      <c r="AO924" s="159"/>
      <c r="AP924" s="160"/>
      <c r="AQ924" s="160"/>
      <c r="AR924" s="160"/>
      <c r="AS924" s="159"/>
      <c r="AT924" s="159"/>
      <c r="AU924" s="161"/>
      <c r="AV924" s="157"/>
      <c r="AW924" s="157"/>
      <c r="AX924" s="157"/>
      <c r="AY924" s="157"/>
      <c r="AZ924" s="157"/>
      <c r="BA924" s="157"/>
      <c r="BB924" s="157"/>
      <c r="BC924" s="151"/>
      <c r="BD924" s="157"/>
      <c r="BE924" s="157"/>
      <c r="BF924" s="157"/>
      <c r="BG924" s="157"/>
      <c r="BH924" s="157"/>
      <c r="BI924" s="157"/>
      <c r="BJ924" s="353"/>
      <c r="BK924" s="353"/>
      <c r="BL924" s="353"/>
      <c r="BM924" s="14"/>
      <c r="BN924" s="14"/>
      <c r="BO924" s="14"/>
    </row>
    <row r="925" spans="1:67" ht="20.100000000000001" customHeight="1">
      <c r="A925" s="157"/>
      <c r="B925" s="1"/>
      <c r="C925" s="157"/>
      <c r="D925" s="1"/>
      <c r="E925" s="150"/>
      <c r="F925" s="150"/>
      <c r="G925" s="151"/>
      <c r="H925" s="150"/>
      <c r="I925" s="150"/>
      <c r="J925" s="151"/>
      <c r="K925" s="151"/>
      <c r="L925" s="150"/>
      <c r="M925" s="151"/>
      <c r="N925" s="151"/>
      <c r="O925" s="151"/>
      <c r="P925" s="150"/>
      <c r="Q925" s="150"/>
      <c r="R925" s="158"/>
      <c r="S925" s="158"/>
      <c r="T925" s="158"/>
      <c r="U925" s="158"/>
      <c r="V925" s="1"/>
      <c r="W925" s="1"/>
      <c r="X925" s="157"/>
      <c r="Y925" s="157"/>
      <c r="Z925" s="157"/>
      <c r="AA925" s="157"/>
      <c r="AB925" s="157"/>
      <c r="AC925" s="151"/>
      <c r="AD925" s="151"/>
      <c r="AE925" s="151"/>
      <c r="AF925" s="157"/>
      <c r="AG925" s="157"/>
      <c r="AH925" s="157"/>
      <c r="AI925" s="157"/>
      <c r="AJ925" s="157"/>
      <c r="AK925" s="157"/>
      <c r="AL925" s="157"/>
      <c r="AM925" s="157"/>
      <c r="AN925" s="159"/>
      <c r="AO925" s="159"/>
      <c r="AP925" s="160"/>
      <c r="AQ925" s="160"/>
      <c r="AR925" s="160"/>
      <c r="AS925" s="159"/>
      <c r="AT925" s="159"/>
      <c r="AU925" s="161"/>
      <c r="AV925" s="157"/>
      <c r="AW925" s="157"/>
      <c r="AX925" s="157"/>
      <c r="AY925" s="157"/>
      <c r="AZ925" s="157"/>
      <c r="BA925" s="157"/>
      <c r="BB925" s="157"/>
      <c r="BC925" s="151"/>
      <c r="BD925" s="157"/>
      <c r="BE925" s="157"/>
      <c r="BF925" s="157"/>
      <c r="BG925" s="157"/>
      <c r="BH925" s="157"/>
      <c r="BI925" s="157"/>
      <c r="BJ925" s="353"/>
      <c r="BK925" s="353"/>
      <c r="BL925" s="353"/>
      <c r="BM925" s="14"/>
      <c r="BN925" s="14"/>
      <c r="BO925" s="14"/>
    </row>
    <row r="926" spans="1:67" ht="20.100000000000001" customHeight="1">
      <c r="A926" s="157"/>
      <c r="B926" s="1"/>
      <c r="C926" s="157"/>
      <c r="D926" s="1"/>
      <c r="E926" s="150"/>
      <c r="F926" s="150"/>
      <c r="G926" s="151"/>
      <c r="H926" s="150"/>
      <c r="I926" s="150"/>
      <c r="J926" s="151"/>
      <c r="K926" s="151"/>
      <c r="L926" s="150"/>
      <c r="M926" s="151"/>
      <c r="N926" s="151"/>
      <c r="O926" s="151"/>
      <c r="P926" s="150"/>
      <c r="Q926" s="150"/>
      <c r="R926" s="158"/>
      <c r="S926" s="158"/>
      <c r="T926" s="158"/>
      <c r="U926" s="158"/>
      <c r="V926" s="1"/>
      <c r="W926" s="1"/>
      <c r="X926" s="157"/>
      <c r="Y926" s="157"/>
      <c r="Z926" s="157"/>
      <c r="AA926" s="157"/>
      <c r="AB926" s="157"/>
      <c r="AC926" s="151"/>
      <c r="AD926" s="151"/>
      <c r="AE926" s="151"/>
      <c r="AF926" s="157"/>
      <c r="AG926" s="157"/>
      <c r="AH926" s="157"/>
      <c r="AI926" s="157"/>
      <c r="AJ926" s="157"/>
      <c r="AK926" s="157"/>
      <c r="AL926" s="157"/>
      <c r="AM926" s="157"/>
      <c r="AN926" s="159"/>
      <c r="AO926" s="159"/>
      <c r="AP926" s="160"/>
      <c r="AQ926" s="160"/>
      <c r="AR926" s="160"/>
      <c r="AS926" s="159"/>
      <c r="AT926" s="159"/>
      <c r="AU926" s="161"/>
      <c r="AV926" s="157"/>
      <c r="AW926" s="157"/>
      <c r="AX926" s="157"/>
      <c r="AY926" s="157"/>
      <c r="AZ926" s="157"/>
      <c r="BA926" s="157"/>
      <c r="BB926" s="157"/>
      <c r="BC926" s="151"/>
      <c r="BD926" s="157"/>
      <c r="BE926" s="157"/>
      <c r="BF926" s="157"/>
      <c r="BG926" s="157"/>
      <c r="BH926" s="157"/>
      <c r="BI926" s="157"/>
      <c r="BJ926" s="353"/>
      <c r="BK926" s="353"/>
      <c r="BL926" s="353"/>
      <c r="BM926" s="14"/>
      <c r="BN926" s="14"/>
      <c r="BO926" s="14"/>
    </row>
    <row r="927" spans="1:67" ht="20.100000000000001" customHeight="1">
      <c r="A927" s="157"/>
      <c r="B927" s="1"/>
      <c r="C927" s="157"/>
      <c r="D927" s="1"/>
      <c r="E927" s="150"/>
      <c r="F927" s="150"/>
      <c r="G927" s="151"/>
      <c r="H927" s="150"/>
      <c r="I927" s="150"/>
      <c r="J927" s="151"/>
      <c r="K927" s="151"/>
      <c r="L927" s="150"/>
      <c r="M927" s="151"/>
      <c r="N927" s="151"/>
      <c r="O927" s="151"/>
      <c r="P927" s="150"/>
      <c r="Q927" s="150"/>
      <c r="R927" s="158"/>
      <c r="S927" s="158"/>
      <c r="T927" s="158"/>
      <c r="U927" s="158"/>
      <c r="V927" s="1"/>
      <c r="W927" s="1"/>
      <c r="X927" s="157"/>
      <c r="Y927" s="157"/>
      <c r="Z927" s="157"/>
      <c r="AA927" s="157"/>
      <c r="AB927" s="157"/>
      <c r="AC927" s="151"/>
      <c r="AD927" s="151"/>
      <c r="AE927" s="151"/>
      <c r="AF927" s="157"/>
      <c r="AG927" s="157"/>
      <c r="AH927" s="157"/>
      <c r="AI927" s="157"/>
      <c r="AJ927" s="157"/>
      <c r="AK927" s="157"/>
      <c r="AL927" s="157"/>
      <c r="AM927" s="157"/>
      <c r="AN927" s="159"/>
      <c r="AO927" s="159"/>
      <c r="AP927" s="160"/>
      <c r="AQ927" s="160"/>
      <c r="AR927" s="160"/>
      <c r="AS927" s="159"/>
      <c r="AT927" s="159"/>
      <c r="AU927" s="161"/>
      <c r="AV927" s="157"/>
      <c r="AW927" s="157"/>
      <c r="AX927" s="157"/>
      <c r="AY927" s="157"/>
      <c r="AZ927" s="157"/>
      <c r="BA927" s="157"/>
      <c r="BB927" s="157"/>
      <c r="BC927" s="151"/>
      <c r="BD927" s="157"/>
      <c r="BE927" s="157"/>
      <c r="BF927" s="157"/>
      <c r="BG927" s="157"/>
      <c r="BH927" s="157"/>
      <c r="BI927" s="157"/>
      <c r="BJ927" s="353"/>
      <c r="BK927" s="353"/>
      <c r="BL927" s="353"/>
      <c r="BM927" s="14"/>
      <c r="BN927" s="14"/>
      <c r="BO927" s="14"/>
    </row>
    <row r="928" spans="1:67" ht="20.100000000000001" customHeight="1">
      <c r="A928" s="157"/>
      <c r="B928" s="1"/>
      <c r="C928" s="157"/>
      <c r="D928" s="1"/>
      <c r="E928" s="150"/>
      <c r="F928" s="150"/>
      <c r="G928" s="151"/>
      <c r="H928" s="150"/>
      <c r="I928" s="150"/>
      <c r="J928" s="151"/>
      <c r="K928" s="151"/>
      <c r="L928" s="150"/>
      <c r="M928" s="151"/>
      <c r="N928" s="151"/>
      <c r="O928" s="151"/>
      <c r="P928" s="150"/>
      <c r="Q928" s="150"/>
      <c r="R928" s="158"/>
      <c r="S928" s="158"/>
      <c r="T928" s="158"/>
      <c r="U928" s="158"/>
      <c r="V928" s="1"/>
      <c r="W928" s="1"/>
      <c r="X928" s="157"/>
      <c r="Y928" s="157"/>
      <c r="Z928" s="157"/>
      <c r="AA928" s="157"/>
      <c r="AB928" s="157"/>
      <c r="AC928" s="151"/>
      <c r="AD928" s="151"/>
      <c r="AE928" s="151"/>
      <c r="AF928" s="157"/>
      <c r="AG928" s="157"/>
      <c r="AH928" s="157"/>
      <c r="AI928" s="157"/>
      <c r="AJ928" s="157"/>
      <c r="AK928" s="157"/>
      <c r="AL928" s="157"/>
      <c r="AM928" s="157"/>
      <c r="AN928" s="159"/>
      <c r="AO928" s="159"/>
      <c r="AP928" s="160"/>
      <c r="AQ928" s="160"/>
      <c r="AR928" s="160"/>
      <c r="AS928" s="159"/>
      <c r="AT928" s="159"/>
      <c r="AU928" s="161"/>
      <c r="AV928" s="157"/>
      <c r="AW928" s="157"/>
      <c r="AX928" s="157"/>
      <c r="AY928" s="157"/>
      <c r="AZ928" s="157"/>
      <c r="BA928" s="157"/>
      <c r="BB928" s="157"/>
      <c r="BC928" s="151"/>
      <c r="BD928" s="157"/>
      <c r="BE928" s="157"/>
      <c r="BF928" s="157"/>
      <c r="BG928" s="157"/>
      <c r="BH928" s="157"/>
      <c r="BI928" s="157"/>
      <c r="BJ928" s="353"/>
      <c r="BK928" s="353"/>
      <c r="BL928" s="353"/>
      <c r="BM928" s="14"/>
      <c r="BN928" s="14"/>
      <c r="BO928" s="14"/>
    </row>
    <row r="929" spans="1:67" ht="20.100000000000001" customHeight="1">
      <c r="A929" s="157"/>
      <c r="B929" s="1"/>
      <c r="C929" s="157"/>
      <c r="D929" s="1"/>
      <c r="E929" s="150"/>
      <c r="F929" s="150"/>
      <c r="G929" s="151"/>
      <c r="H929" s="150"/>
      <c r="I929" s="150"/>
      <c r="J929" s="151"/>
      <c r="K929" s="151"/>
      <c r="L929" s="150"/>
      <c r="M929" s="151"/>
      <c r="N929" s="151"/>
      <c r="O929" s="151"/>
      <c r="P929" s="150"/>
      <c r="Q929" s="150"/>
      <c r="R929" s="158"/>
      <c r="S929" s="158"/>
      <c r="T929" s="158"/>
      <c r="U929" s="158"/>
      <c r="V929" s="1"/>
      <c r="W929" s="1"/>
      <c r="X929" s="157"/>
      <c r="Y929" s="157"/>
      <c r="Z929" s="157"/>
      <c r="AA929" s="157"/>
      <c r="AB929" s="157"/>
      <c r="AC929" s="151"/>
      <c r="AD929" s="151"/>
      <c r="AE929" s="151"/>
      <c r="AF929" s="157"/>
      <c r="AG929" s="157"/>
      <c r="AH929" s="157"/>
      <c r="AI929" s="157"/>
      <c r="AJ929" s="157"/>
      <c r="AK929" s="157"/>
      <c r="AL929" s="157"/>
      <c r="AM929" s="157"/>
      <c r="AN929" s="159"/>
      <c r="AO929" s="159"/>
      <c r="AP929" s="160"/>
      <c r="AQ929" s="160"/>
      <c r="AR929" s="160"/>
      <c r="AS929" s="159"/>
      <c r="AT929" s="159"/>
      <c r="AU929" s="161"/>
      <c r="AV929" s="157"/>
      <c r="AW929" s="157"/>
      <c r="AX929" s="157"/>
      <c r="AY929" s="157"/>
      <c r="AZ929" s="157"/>
      <c r="BA929" s="157"/>
      <c r="BB929" s="157"/>
      <c r="BC929" s="151"/>
      <c r="BD929" s="157"/>
      <c r="BE929" s="157"/>
      <c r="BF929" s="157"/>
      <c r="BG929" s="157"/>
      <c r="BH929" s="157"/>
      <c r="BI929" s="157"/>
      <c r="BJ929" s="353"/>
      <c r="BK929" s="353"/>
      <c r="BL929" s="353"/>
      <c r="BM929" s="14"/>
      <c r="BN929" s="14"/>
      <c r="BO929" s="14"/>
    </row>
    <row r="930" spans="1:67" ht="20.100000000000001" customHeight="1">
      <c r="A930" s="157"/>
      <c r="B930" s="1"/>
      <c r="C930" s="157"/>
      <c r="D930" s="1"/>
      <c r="E930" s="150"/>
      <c r="F930" s="150"/>
      <c r="G930" s="151"/>
      <c r="H930" s="150"/>
      <c r="I930" s="150"/>
      <c r="J930" s="151"/>
      <c r="K930" s="151"/>
      <c r="L930" s="150"/>
      <c r="M930" s="151"/>
      <c r="N930" s="151"/>
      <c r="O930" s="151"/>
      <c r="P930" s="150"/>
      <c r="Q930" s="150"/>
      <c r="R930" s="158"/>
      <c r="S930" s="158"/>
      <c r="T930" s="158"/>
      <c r="U930" s="158"/>
      <c r="V930" s="1"/>
      <c r="W930" s="1"/>
      <c r="X930" s="157"/>
      <c r="Y930" s="157"/>
      <c r="Z930" s="157"/>
      <c r="AA930" s="157"/>
      <c r="AB930" s="157"/>
      <c r="AC930" s="151"/>
      <c r="AD930" s="151"/>
      <c r="AE930" s="151"/>
      <c r="AF930" s="157"/>
      <c r="AG930" s="157"/>
      <c r="AH930" s="157"/>
      <c r="AI930" s="157"/>
      <c r="AJ930" s="157"/>
      <c r="AK930" s="157"/>
      <c r="AL930" s="157"/>
      <c r="AM930" s="157"/>
      <c r="AN930" s="159"/>
      <c r="AO930" s="159"/>
      <c r="AP930" s="160"/>
      <c r="AQ930" s="160"/>
      <c r="AR930" s="160"/>
      <c r="AS930" s="159"/>
      <c r="AT930" s="159"/>
      <c r="AU930" s="161"/>
      <c r="AV930" s="157"/>
      <c r="AW930" s="157"/>
      <c r="AX930" s="157"/>
      <c r="AY930" s="157"/>
      <c r="AZ930" s="157"/>
      <c r="BA930" s="157"/>
      <c r="BB930" s="157"/>
      <c r="BC930" s="151"/>
      <c r="BD930" s="157"/>
      <c r="BE930" s="157"/>
      <c r="BF930" s="157"/>
      <c r="BG930" s="157"/>
      <c r="BH930" s="157"/>
      <c r="BI930" s="157"/>
      <c r="BJ930" s="353"/>
      <c r="BK930" s="353"/>
      <c r="BL930" s="353"/>
      <c r="BM930" s="14"/>
      <c r="BN930" s="14"/>
      <c r="BO930" s="14"/>
    </row>
    <row r="931" spans="1:67" ht="20.100000000000001" customHeight="1">
      <c r="A931" s="157"/>
      <c r="B931" s="1"/>
      <c r="C931" s="157"/>
      <c r="D931" s="1"/>
      <c r="E931" s="150"/>
      <c r="F931" s="150"/>
      <c r="G931" s="151"/>
      <c r="H931" s="150"/>
      <c r="I931" s="150"/>
      <c r="J931" s="151"/>
      <c r="K931" s="151"/>
      <c r="L931" s="150"/>
      <c r="M931" s="151"/>
      <c r="N931" s="151"/>
      <c r="O931" s="151"/>
      <c r="P931" s="150"/>
      <c r="Q931" s="150"/>
      <c r="R931" s="158"/>
      <c r="S931" s="158"/>
      <c r="T931" s="158"/>
      <c r="U931" s="158"/>
      <c r="V931" s="1"/>
      <c r="W931" s="1"/>
      <c r="X931" s="157"/>
      <c r="Y931" s="157"/>
      <c r="Z931" s="157"/>
      <c r="AA931" s="157"/>
      <c r="AB931" s="157"/>
      <c r="AC931" s="151"/>
      <c r="AD931" s="151"/>
      <c r="AE931" s="151"/>
      <c r="AF931" s="157"/>
      <c r="AG931" s="157"/>
      <c r="AH931" s="157"/>
      <c r="AI931" s="157"/>
      <c r="AJ931" s="157"/>
      <c r="AK931" s="157"/>
      <c r="AL931" s="157"/>
      <c r="AM931" s="157"/>
      <c r="AN931" s="159"/>
      <c r="AO931" s="159"/>
      <c r="AP931" s="160"/>
      <c r="AQ931" s="160"/>
      <c r="AR931" s="160"/>
      <c r="AS931" s="159"/>
      <c r="AT931" s="159"/>
      <c r="AU931" s="161"/>
      <c r="AV931" s="157"/>
      <c r="AW931" s="157"/>
      <c r="AX931" s="157"/>
      <c r="AY931" s="157"/>
      <c r="AZ931" s="157"/>
      <c r="BA931" s="157"/>
      <c r="BB931" s="157"/>
      <c r="BC931" s="151"/>
      <c r="BD931" s="157"/>
      <c r="BE931" s="157"/>
      <c r="BF931" s="157"/>
      <c r="BG931" s="157"/>
      <c r="BH931" s="157"/>
      <c r="BI931" s="157"/>
      <c r="BJ931" s="353"/>
      <c r="BK931" s="353"/>
      <c r="BL931" s="353"/>
      <c r="BM931" s="14"/>
      <c r="BN931" s="14"/>
      <c r="BO931" s="14"/>
    </row>
    <row r="932" spans="1:67" ht="20.100000000000001" customHeight="1">
      <c r="A932" s="157"/>
      <c r="B932" s="1"/>
      <c r="C932" s="157"/>
      <c r="D932" s="1"/>
      <c r="E932" s="150"/>
      <c r="F932" s="150"/>
      <c r="G932" s="151"/>
      <c r="H932" s="150"/>
      <c r="I932" s="150"/>
      <c r="J932" s="151"/>
      <c r="K932" s="151"/>
      <c r="L932" s="150"/>
      <c r="M932" s="151"/>
      <c r="N932" s="151"/>
      <c r="O932" s="151"/>
      <c r="P932" s="150"/>
      <c r="Q932" s="150"/>
      <c r="R932" s="158"/>
      <c r="S932" s="158"/>
      <c r="T932" s="158"/>
      <c r="U932" s="158"/>
      <c r="V932" s="1"/>
      <c r="W932" s="1"/>
      <c r="X932" s="157"/>
      <c r="Y932" s="157"/>
      <c r="Z932" s="157"/>
      <c r="AA932" s="157"/>
      <c r="AB932" s="157"/>
      <c r="AC932" s="151"/>
      <c r="AD932" s="151"/>
      <c r="AE932" s="151"/>
      <c r="AF932" s="157"/>
      <c r="AG932" s="157"/>
      <c r="AH932" s="157"/>
      <c r="AI932" s="157"/>
      <c r="AJ932" s="157"/>
      <c r="AK932" s="157"/>
      <c r="AL932" s="157"/>
      <c r="AM932" s="157"/>
      <c r="AN932" s="159"/>
      <c r="AO932" s="159"/>
      <c r="AP932" s="160"/>
      <c r="AQ932" s="160"/>
      <c r="AR932" s="160"/>
      <c r="AS932" s="159"/>
      <c r="AT932" s="159"/>
      <c r="AU932" s="161"/>
      <c r="AV932" s="157"/>
      <c r="AW932" s="157"/>
      <c r="AX932" s="157"/>
      <c r="AY932" s="157"/>
      <c r="AZ932" s="157"/>
      <c r="BA932" s="157"/>
      <c r="BB932" s="157"/>
      <c r="BC932" s="151"/>
      <c r="BD932" s="157"/>
      <c r="BE932" s="157"/>
      <c r="BF932" s="157"/>
      <c r="BG932" s="157"/>
      <c r="BH932" s="157"/>
      <c r="BI932" s="157"/>
      <c r="BJ932" s="353"/>
      <c r="BK932" s="353"/>
      <c r="BL932" s="353"/>
      <c r="BM932" s="14"/>
      <c r="BN932" s="14"/>
      <c r="BO932" s="14"/>
    </row>
    <row r="933" spans="1:67" ht="20.100000000000001" customHeight="1">
      <c r="A933" s="157"/>
      <c r="B933" s="1"/>
      <c r="C933" s="157"/>
      <c r="D933" s="1"/>
      <c r="E933" s="150"/>
      <c r="F933" s="150"/>
      <c r="G933" s="151"/>
      <c r="H933" s="150"/>
      <c r="I933" s="150"/>
      <c r="J933" s="151"/>
      <c r="K933" s="151"/>
      <c r="L933" s="150"/>
      <c r="M933" s="151"/>
      <c r="N933" s="151"/>
      <c r="O933" s="151"/>
      <c r="P933" s="150"/>
      <c r="Q933" s="150"/>
      <c r="R933" s="158"/>
      <c r="S933" s="158"/>
      <c r="T933" s="158"/>
      <c r="U933" s="158"/>
      <c r="V933" s="1"/>
      <c r="W933" s="1"/>
      <c r="X933" s="157"/>
      <c r="Y933" s="157"/>
      <c r="Z933" s="157"/>
      <c r="AA933" s="157"/>
      <c r="AB933" s="157"/>
      <c r="AC933" s="151"/>
      <c r="AD933" s="151"/>
      <c r="AE933" s="151"/>
      <c r="AF933" s="157"/>
      <c r="AG933" s="157"/>
      <c r="AH933" s="157"/>
      <c r="AI933" s="157"/>
      <c r="AJ933" s="157"/>
      <c r="AK933" s="157"/>
      <c r="AL933" s="157"/>
      <c r="AM933" s="157"/>
      <c r="AN933" s="159"/>
      <c r="AO933" s="159"/>
      <c r="AP933" s="160"/>
      <c r="AQ933" s="160"/>
      <c r="AR933" s="160"/>
      <c r="AS933" s="159"/>
      <c r="AT933" s="159"/>
      <c r="AU933" s="161"/>
      <c r="AV933" s="157"/>
      <c r="AW933" s="157"/>
      <c r="AX933" s="157"/>
      <c r="AY933" s="157"/>
      <c r="AZ933" s="157"/>
      <c r="BA933" s="157"/>
      <c r="BB933" s="157"/>
      <c r="BC933" s="151"/>
      <c r="BD933" s="157"/>
      <c r="BE933" s="157"/>
      <c r="BF933" s="157"/>
      <c r="BG933" s="157"/>
      <c r="BH933" s="157"/>
      <c r="BI933" s="157"/>
      <c r="BJ933" s="353"/>
      <c r="BK933" s="353"/>
      <c r="BL933" s="353"/>
      <c r="BM933" s="14"/>
      <c r="BN933" s="14"/>
      <c r="BO933" s="14"/>
    </row>
    <row r="934" spans="1:67" ht="20.100000000000001" customHeight="1">
      <c r="A934" s="157"/>
      <c r="B934" s="1"/>
      <c r="C934" s="157"/>
      <c r="D934" s="1"/>
      <c r="E934" s="150"/>
      <c r="F934" s="150"/>
      <c r="G934" s="151"/>
      <c r="H934" s="150"/>
      <c r="I934" s="150"/>
      <c r="J934" s="151"/>
      <c r="K934" s="151"/>
      <c r="L934" s="150"/>
      <c r="M934" s="151"/>
      <c r="N934" s="151"/>
      <c r="O934" s="151"/>
      <c r="P934" s="150"/>
      <c r="Q934" s="150"/>
      <c r="R934" s="158"/>
      <c r="S934" s="158"/>
      <c r="T934" s="158"/>
      <c r="U934" s="158"/>
      <c r="V934" s="1"/>
      <c r="W934" s="1"/>
      <c r="X934" s="157"/>
      <c r="Y934" s="157"/>
      <c r="Z934" s="157"/>
      <c r="AA934" s="157"/>
      <c r="AB934" s="157"/>
      <c r="AC934" s="151"/>
      <c r="AD934" s="151"/>
      <c r="AE934" s="151"/>
      <c r="AF934" s="157"/>
      <c r="AG934" s="157"/>
      <c r="AH934" s="157"/>
      <c r="AI934" s="157"/>
      <c r="AJ934" s="157"/>
      <c r="AK934" s="157"/>
      <c r="AL934" s="157"/>
      <c r="AM934" s="157"/>
      <c r="AN934" s="159"/>
      <c r="AO934" s="159"/>
      <c r="AP934" s="160"/>
      <c r="AQ934" s="160"/>
      <c r="AR934" s="160"/>
      <c r="AS934" s="159"/>
      <c r="AT934" s="159"/>
      <c r="AU934" s="161"/>
      <c r="AV934" s="157"/>
      <c r="AW934" s="157"/>
      <c r="AX934" s="157"/>
      <c r="AY934" s="157"/>
      <c r="AZ934" s="157"/>
      <c r="BA934" s="157"/>
      <c r="BB934" s="157"/>
      <c r="BC934" s="151"/>
      <c r="BD934" s="157"/>
      <c r="BE934" s="157"/>
      <c r="BF934" s="157"/>
      <c r="BG934" s="157"/>
      <c r="BH934" s="157"/>
      <c r="BI934" s="157"/>
      <c r="BJ934" s="353"/>
      <c r="BK934" s="353"/>
      <c r="BL934" s="353"/>
      <c r="BM934" s="14"/>
      <c r="BN934" s="14"/>
      <c r="BO934" s="14"/>
    </row>
    <row r="935" spans="1:67" ht="20.100000000000001" customHeight="1">
      <c r="A935" s="157"/>
      <c r="B935" s="1"/>
      <c r="C935" s="157"/>
      <c r="D935" s="1"/>
      <c r="E935" s="150"/>
      <c r="F935" s="150"/>
      <c r="G935" s="151"/>
      <c r="H935" s="150"/>
      <c r="I935" s="150"/>
      <c r="J935" s="151"/>
      <c r="K935" s="151"/>
      <c r="L935" s="150"/>
      <c r="M935" s="151"/>
      <c r="N935" s="151"/>
      <c r="O935" s="151"/>
      <c r="P935" s="150"/>
      <c r="Q935" s="150"/>
      <c r="R935" s="158"/>
      <c r="S935" s="158"/>
      <c r="T935" s="158"/>
      <c r="U935" s="158"/>
      <c r="V935" s="1"/>
      <c r="W935" s="1"/>
      <c r="X935" s="157"/>
      <c r="Y935" s="157"/>
      <c r="Z935" s="157"/>
      <c r="AA935" s="157"/>
      <c r="AB935" s="157"/>
      <c r="AC935" s="151"/>
      <c r="AD935" s="151"/>
      <c r="AE935" s="151"/>
      <c r="AF935" s="157"/>
      <c r="AG935" s="157"/>
      <c r="AH935" s="157"/>
      <c r="AI935" s="157"/>
      <c r="AJ935" s="157"/>
      <c r="AK935" s="157"/>
      <c r="AL935" s="157"/>
      <c r="AM935" s="157"/>
      <c r="AN935" s="159"/>
      <c r="AO935" s="159"/>
      <c r="AP935" s="160"/>
      <c r="AQ935" s="160"/>
      <c r="AR935" s="160"/>
      <c r="AS935" s="159"/>
      <c r="AT935" s="159"/>
      <c r="AU935" s="161"/>
      <c r="AV935" s="157"/>
      <c r="AW935" s="157"/>
      <c r="AX935" s="157"/>
      <c r="AY935" s="157"/>
      <c r="AZ935" s="157"/>
      <c r="BA935" s="157"/>
      <c r="BB935" s="157"/>
      <c r="BC935" s="151"/>
      <c r="BD935" s="157"/>
      <c r="BE935" s="157"/>
      <c r="BF935" s="157"/>
      <c r="BG935" s="157"/>
      <c r="BH935" s="157"/>
      <c r="BI935" s="157"/>
      <c r="BJ935" s="353"/>
      <c r="BK935" s="353"/>
      <c r="BL935" s="353"/>
      <c r="BM935" s="14"/>
      <c r="BN935" s="14"/>
      <c r="BO935" s="14"/>
    </row>
    <row r="936" spans="1:67" ht="20.100000000000001" customHeight="1">
      <c r="A936" s="157"/>
      <c r="B936" s="1"/>
      <c r="C936" s="157"/>
      <c r="D936" s="1"/>
      <c r="E936" s="150"/>
      <c r="F936" s="150"/>
      <c r="G936" s="151"/>
      <c r="H936" s="150"/>
      <c r="I936" s="150"/>
      <c r="J936" s="151"/>
      <c r="K936" s="151"/>
      <c r="L936" s="150"/>
      <c r="M936" s="151"/>
      <c r="N936" s="151"/>
      <c r="O936" s="151"/>
      <c r="P936" s="150"/>
      <c r="Q936" s="150"/>
      <c r="R936" s="158"/>
      <c r="S936" s="158"/>
      <c r="T936" s="158"/>
      <c r="U936" s="158"/>
      <c r="V936" s="1"/>
      <c r="W936" s="1"/>
      <c r="X936" s="157"/>
      <c r="Y936" s="157"/>
      <c r="Z936" s="157"/>
      <c r="AA936" s="157"/>
      <c r="AB936" s="157"/>
      <c r="AC936" s="151"/>
      <c r="AD936" s="151"/>
      <c r="AE936" s="151"/>
      <c r="AF936" s="157"/>
      <c r="AG936" s="157"/>
      <c r="AH936" s="157"/>
      <c r="AI936" s="157"/>
      <c r="AJ936" s="157"/>
      <c r="AK936" s="157"/>
      <c r="AL936" s="157"/>
      <c r="AM936" s="157"/>
      <c r="AN936" s="159"/>
      <c r="AO936" s="159"/>
      <c r="AP936" s="160"/>
      <c r="AQ936" s="160"/>
      <c r="AR936" s="160"/>
      <c r="AS936" s="159"/>
      <c r="AT936" s="159"/>
      <c r="AU936" s="161"/>
      <c r="AV936" s="157"/>
      <c r="AW936" s="157"/>
      <c r="AX936" s="157"/>
      <c r="AY936" s="157"/>
      <c r="AZ936" s="157"/>
      <c r="BA936" s="157"/>
      <c r="BB936" s="157"/>
      <c r="BC936" s="151"/>
      <c r="BD936" s="157"/>
      <c r="BE936" s="157"/>
      <c r="BF936" s="157"/>
      <c r="BG936" s="157"/>
      <c r="BH936" s="157"/>
      <c r="BI936" s="157"/>
      <c r="BJ936" s="353"/>
      <c r="BK936" s="353"/>
      <c r="BL936" s="353"/>
      <c r="BM936" s="14"/>
      <c r="BN936" s="14"/>
      <c r="BO936" s="14"/>
    </row>
    <row r="937" spans="1:67" ht="20.100000000000001" customHeight="1">
      <c r="A937" s="157"/>
      <c r="B937" s="1"/>
      <c r="C937" s="157"/>
      <c r="D937" s="1"/>
      <c r="E937" s="150"/>
      <c r="F937" s="150"/>
      <c r="G937" s="151"/>
      <c r="H937" s="150"/>
      <c r="I937" s="150"/>
      <c r="J937" s="151"/>
      <c r="K937" s="151"/>
      <c r="L937" s="150"/>
      <c r="M937" s="151"/>
      <c r="N937" s="151"/>
      <c r="O937" s="151"/>
      <c r="P937" s="150"/>
      <c r="Q937" s="150"/>
      <c r="R937" s="158"/>
      <c r="S937" s="158"/>
      <c r="T937" s="158"/>
      <c r="U937" s="158"/>
      <c r="V937" s="1"/>
      <c r="W937" s="1"/>
      <c r="X937" s="157"/>
      <c r="Y937" s="157"/>
      <c r="Z937" s="157"/>
      <c r="AA937" s="157"/>
      <c r="AB937" s="157"/>
      <c r="AC937" s="151"/>
      <c r="AD937" s="151"/>
      <c r="AE937" s="151"/>
      <c r="AF937" s="157"/>
      <c r="AG937" s="157"/>
      <c r="AH937" s="157"/>
      <c r="AI937" s="157"/>
      <c r="AJ937" s="157"/>
      <c r="AK937" s="157"/>
      <c r="AL937" s="157"/>
      <c r="AM937" s="157"/>
      <c r="AN937" s="159"/>
      <c r="AO937" s="159"/>
      <c r="AP937" s="160"/>
      <c r="AQ937" s="160"/>
      <c r="AR937" s="160"/>
      <c r="AS937" s="159"/>
      <c r="AT937" s="159"/>
      <c r="AU937" s="161"/>
      <c r="AV937" s="157"/>
      <c r="AW937" s="157"/>
      <c r="AX937" s="157"/>
      <c r="AY937" s="157"/>
      <c r="AZ937" s="157"/>
      <c r="BA937" s="157"/>
      <c r="BB937" s="157"/>
      <c r="BC937" s="151"/>
      <c r="BD937" s="157"/>
      <c r="BE937" s="157"/>
      <c r="BF937" s="157"/>
      <c r="BG937" s="157"/>
      <c r="BH937" s="157"/>
      <c r="BI937" s="157"/>
      <c r="BJ937" s="353"/>
      <c r="BK937" s="353"/>
      <c r="BL937" s="353"/>
      <c r="BM937" s="14"/>
      <c r="BN937" s="14"/>
      <c r="BO937" s="14"/>
    </row>
    <row r="938" spans="1:67" ht="20.100000000000001" customHeight="1">
      <c r="A938" s="157"/>
      <c r="B938" s="1"/>
      <c r="C938" s="157"/>
      <c r="D938" s="1"/>
      <c r="E938" s="150"/>
      <c r="F938" s="150"/>
      <c r="G938" s="151"/>
      <c r="H938" s="150"/>
      <c r="I938" s="150"/>
      <c r="J938" s="151"/>
      <c r="K938" s="151"/>
      <c r="L938" s="150"/>
      <c r="M938" s="151"/>
      <c r="N938" s="151"/>
      <c r="O938" s="151"/>
      <c r="P938" s="150"/>
      <c r="Q938" s="150"/>
      <c r="R938" s="158"/>
      <c r="S938" s="158"/>
      <c r="T938" s="158"/>
      <c r="U938" s="158"/>
      <c r="V938" s="1"/>
      <c r="W938" s="1"/>
      <c r="X938" s="157"/>
      <c r="Y938" s="157"/>
      <c r="Z938" s="157"/>
      <c r="AA938" s="157"/>
      <c r="AB938" s="157"/>
      <c r="AC938" s="151"/>
      <c r="AD938" s="151"/>
      <c r="AE938" s="151"/>
      <c r="AF938" s="157"/>
      <c r="AG938" s="157"/>
      <c r="AH938" s="157"/>
      <c r="AI938" s="157"/>
      <c r="AJ938" s="157"/>
      <c r="AK938" s="157"/>
      <c r="AL938" s="157"/>
      <c r="AM938" s="157"/>
      <c r="AN938" s="159"/>
      <c r="AO938" s="159"/>
      <c r="AP938" s="160"/>
      <c r="AQ938" s="160"/>
      <c r="AR938" s="160"/>
      <c r="AS938" s="159"/>
      <c r="AT938" s="159"/>
      <c r="AU938" s="161"/>
      <c r="AV938" s="157"/>
      <c r="AW938" s="157"/>
      <c r="AX938" s="157"/>
      <c r="AY938" s="157"/>
      <c r="AZ938" s="157"/>
      <c r="BA938" s="157"/>
      <c r="BB938" s="157"/>
      <c r="BC938" s="151"/>
      <c r="BD938" s="157"/>
      <c r="BE938" s="157"/>
      <c r="BF938" s="157"/>
      <c r="BG938" s="157"/>
      <c r="BH938" s="157"/>
      <c r="BI938" s="157"/>
      <c r="BJ938" s="353"/>
      <c r="BK938" s="353"/>
      <c r="BL938" s="353"/>
      <c r="BM938" s="14"/>
      <c r="BN938" s="14"/>
      <c r="BO938" s="14"/>
    </row>
    <row r="939" spans="1:67" ht="20.100000000000001" customHeight="1">
      <c r="A939" s="157"/>
      <c r="B939" s="1"/>
      <c r="C939" s="157"/>
      <c r="D939" s="1"/>
      <c r="E939" s="150"/>
      <c r="F939" s="150"/>
      <c r="G939" s="151"/>
      <c r="H939" s="150"/>
      <c r="I939" s="150"/>
      <c r="J939" s="151"/>
      <c r="K939" s="151"/>
      <c r="L939" s="150"/>
      <c r="M939" s="151"/>
      <c r="N939" s="151"/>
      <c r="O939" s="151"/>
      <c r="P939" s="150"/>
      <c r="Q939" s="150"/>
      <c r="R939" s="158"/>
      <c r="S939" s="158"/>
      <c r="T939" s="158"/>
      <c r="U939" s="158"/>
      <c r="V939" s="1"/>
      <c r="W939" s="1"/>
      <c r="X939" s="157"/>
      <c r="Y939" s="157"/>
      <c r="Z939" s="157"/>
      <c r="AA939" s="157"/>
      <c r="AB939" s="157"/>
      <c r="AC939" s="151"/>
      <c r="AD939" s="151"/>
      <c r="AE939" s="151"/>
      <c r="AF939" s="157"/>
      <c r="AG939" s="157"/>
      <c r="AH939" s="157"/>
      <c r="AI939" s="157"/>
      <c r="AJ939" s="157"/>
      <c r="AK939" s="157"/>
      <c r="AL939" s="157"/>
      <c r="AM939" s="157"/>
      <c r="AN939" s="159"/>
      <c r="AO939" s="159"/>
      <c r="AP939" s="160"/>
      <c r="AQ939" s="160"/>
      <c r="AR939" s="160"/>
      <c r="AS939" s="159"/>
      <c r="AT939" s="159"/>
      <c r="AU939" s="161"/>
      <c r="AV939" s="157"/>
      <c r="AW939" s="157"/>
      <c r="AX939" s="157"/>
      <c r="AY939" s="157"/>
      <c r="AZ939" s="157"/>
      <c r="BA939" s="157"/>
      <c r="BB939" s="157"/>
      <c r="BC939" s="151"/>
      <c r="BD939" s="157"/>
      <c r="BE939" s="157"/>
      <c r="BF939" s="157"/>
      <c r="BG939" s="157"/>
      <c r="BH939" s="157"/>
      <c r="BI939" s="157"/>
      <c r="BJ939" s="353"/>
      <c r="BK939" s="353"/>
      <c r="BL939" s="353"/>
      <c r="BM939" s="14"/>
      <c r="BN939" s="14"/>
      <c r="BO939" s="14"/>
    </row>
    <row r="940" spans="1:67" ht="20.100000000000001" customHeight="1">
      <c r="A940" s="14"/>
      <c r="B940" s="10"/>
      <c r="C940" s="14"/>
      <c r="D940" s="10"/>
      <c r="E940" s="10"/>
      <c r="F940" s="10"/>
      <c r="G940" s="15"/>
      <c r="H940" s="3"/>
      <c r="I940" s="3"/>
      <c r="J940" s="15"/>
      <c r="K940" s="15"/>
      <c r="L940" s="3"/>
      <c r="M940" s="15"/>
      <c r="N940" s="15"/>
      <c r="O940" s="15"/>
      <c r="P940" s="3"/>
      <c r="Q940" s="3"/>
      <c r="R940" s="16"/>
      <c r="S940" s="16"/>
      <c r="T940" s="16"/>
      <c r="U940" s="16"/>
      <c r="V940" s="10"/>
      <c r="W940" s="10"/>
      <c r="X940" s="14"/>
      <c r="Y940" s="14"/>
      <c r="Z940" s="14"/>
      <c r="AA940" s="14"/>
      <c r="AB940" s="14"/>
      <c r="AC940" s="14"/>
      <c r="AD940" s="14"/>
      <c r="AE940" s="14"/>
      <c r="AF940" s="14"/>
      <c r="AG940" s="14"/>
      <c r="AH940" s="14"/>
      <c r="AI940" s="14"/>
      <c r="AJ940" s="14"/>
      <c r="AK940" s="14"/>
      <c r="AL940" s="14"/>
      <c r="AM940" s="14"/>
      <c r="AN940" s="163"/>
      <c r="AO940" s="163"/>
      <c r="AP940" s="14"/>
      <c r="AQ940" s="14"/>
      <c r="AR940" s="14"/>
      <c r="AS940" s="163"/>
      <c r="AT940" s="163"/>
      <c r="AU940" s="164"/>
      <c r="AV940" s="14"/>
      <c r="AW940" s="14"/>
      <c r="AX940" s="14"/>
      <c r="AY940" s="14"/>
      <c r="AZ940" s="14"/>
      <c r="BA940" s="14"/>
      <c r="BB940" s="14"/>
      <c r="BC940" s="14"/>
      <c r="BD940" s="14"/>
      <c r="BE940" s="14"/>
      <c r="BF940" s="14"/>
      <c r="BG940" s="14"/>
      <c r="BH940" s="14"/>
      <c r="BI940" s="14"/>
      <c r="BJ940" s="345"/>
      <c r="BK940" s="345"/>
      <c r="BL940" s="345"/>
      <c r="BM940" s="14"/>
      <c r="BN940" s="14"/>
      <c r="BO940" s="14"/>
    </row>
    <row r="941" spans="1:67" ht="20.100000000000001" customHeight="1">
      <c r="A941" s="14"/>
      <c r="B941" s="10"/>
      <c r="C941" s="14"/>
      <c r="D941" s="10"/>
      <c r="E941" s="10"/>
      <c r="F941" s="10"/>
      <c r="G941" s="15"/>
      <c r="H941" s="3"/>
      <c r="I941" s="3"/>
      <c r="J941" s="15"/>
      <c r="K941" s="15"/>
      <c r="L941" s="3"/>
      <c r="M941" s="15"/>
      <c r="N941" s="15"/>
      <c r="O941" s="15"/>
      <c r="P941" s="3"/>
      <c r="Q941" s="3"/>
      <c r="R941" s="16"/>
      <c r="S941" s="16"/>
      <c r="T941" s="16"/>
      <c r="U941" s="16"/>
      <c r="V941" s="10"/>
      <c r="W941" s="10"/>
      <c r="X941" s="14"/>
      <c r="Y941" s="14"/>
      <c r="Z941" s="14"/>
      <c r="AA941" s="14"/>
      <c r="AB941" s="14"/>
      <c r="AC941" s="14"/>
      <c r="AD941" s="14"/>
      <c r="AE941" s="14"/>
      <c r="AF941" s="14"/>
      <c r="AG941" s="14"/>
      <c r="AH941" s="14"/>
      <c r="AI941" s="14"/>
      <c r="AJ941" s="14"/>
      <c r="AK941" s="14"/>
      <c r="AL941" s="14"/>
      <c r="AM941" s="14"/>
      <c r="AN941" s="163"/>
      <c r="AO941" s="163"/>
      <c r="AP941" s="14"/>
      <c r="AQ941" s="14"/>
      <c r="AR941" s="14"/>
      <c r="AS941" s="163"/>
      <c r="AT941" s="163"/>
      <c r="AU941" s="164"/>
      <c r="AV941" s="14"/>
      <c r="AW941" s="14"/>
      <c r="AX941" s="14"/>
      <c r="AY941" s="14"/>
      <c r="AZ941" s="14"/>
      <c r="BA941" s="14"/>
      <c r="BB941" s="14"/>
      <c r="BC941" s="14"/>
      <c r="BD941" s="14"/>
      <c r="BE941" s="14"/>
      <c r="BF941" s="14"/>
      <c r="BG941" s="14"/>
      <c r="BH941" s="14"/>
      <c r="BI941" s="14"/>
      <c r="BJ941" s="345"/>
      <c r="BK941" s="345"/>
      <c r="BL941" s="345"/>
      <c r="BM941" s="14"/>
      <c r="BN941" s="14"/>
      <c r="BO941" s="14"/>
    </row>
    <row r="942" spans="1:67" ht="20.100000000000001" customHeight="1">
      <c r="A942" s="14"/>
      <c r="B942" s="10"/>
      <c r="C942" s="14"/>
      <c r="D942" s="10"/>
      <c r="E942" s="10"/>
      <c r="F942" s="10"/>
      <c r="G942" s="15"/>
      <c r="H942" s="3"/>
      <c r="I942" s="3"/>
      <c r="J942" s="15"/>
      <c r="K942" s="15"/>
      <c r="L942" s="3"/>
      <c r="M942" s="15"/>
      <c r="N942" s="15"/>
      <c r="O942" s="15"/>
      <c r="P942" s="3"/>
      <c r="Q942" s="3"/>
      <c r="R942" s="16"/>
      <c r="S942" s="16"/>
      <c r="T942" s="16"/>
      <c r="U942" s="16"/>
      <c r="V942" s="10"/>
      <c r="W942" s="10"/>
      <c r="X942" s="14"/>
      <c r="Y942" s="14"/>
      <c r="Z942" s="14"/>
      <c r="AA942" s="14"/>
      <c r="AB942" s="14"/>
      <c r="AC942" s="14"/>
      <c r="AD942" s="14"/>
      <c r="AE942" s="14"/>
      <c r="AF942" s="14"/>
      <c r="AG942" s="14"/>
      <c r="AH942" s="14"/>
      <c r="AI942" s="14"/>
      <c r="AJ942" s="14"/>
      <c r="AK942" s="14"/>
      <c r="AL942" s="14"/>
      <c r="AM942" s="14"/>
      <c r="AN942" s="163"/>
      <c r="AO942" s="163"/>
      <c r="AP942" s="14"/>
      <c r="AQ942" s="14"/>
      <c r="AR942" s="14"/>
      <c r="AS942" s="163"/>
      <c r="AT942" s="163"/>
      <c r="AU942" s="164"/>
      <c r="AV942" s="14"/>
      <c r="AW942" s="14"/>
      <c r="AX942" s="14"/>
      <c r="AY942" s="14"/>
      <c r="AZ942" s="14"/>
      <c r="BA942" s="14"/>
      <c r="BB942" s="14"/>
      <c r="BC942" s="14"/>
      <c r="BD942" s="14"/>
      <c r="BE942" s="14"/>
      <c r="BF942" s="14"/>
      <c r="BG942" s="14"/>
      <c r="BH942" s="14"/>
      <c r="BI942" s="14"/>
      <c r="BJ942" s="345"/>
      <c r="BK942" s="345"/>
      <c r="BL942" s="345"/>
      <c r="BM942" s="14"/>
      <c r="BN942" s="14"/>
      <c r="BO942" s="14"/>
    </row>
    <row r="943" spans="1:67" ht="20.100000000000001" customHeight="1">
      <c r="A943" s="14"/>
      <c r="B943" s="10"/>
      <c r="C943" s="14"/>
      <c r="D943" s="10"/>
      <c r="E943" s="10"/>
      <c r="F943" s="10"/>
      <c r="G943" s="15"/>
      <c r="H943" s="3"/>
      <c r="I943" s="3"/>
      <c r="J943" s="15"/>
      <c r="K943" s="15"/>
      <c r="L943" s="3"/>
      <c r="M943" s="15"/>
      <c r="N943" s="15"/>
      <c r="O943" s="15"/>
      <c r="P943" s="3"/>
      <c r="Q943" s="3"/>
      <c r="R943" s="16"/>
      <c r="S943" s="16"/>
      <c r="T943" s="16"/>
      <c r="U943" s="16"/>
      <c r="V943" s="10"/>
      <c r="W943" s="10"/>
      <c r="X943" s="14"/>
      <c r="Y943" s="14"/>
      <c r="Z943" s="14"/>
      <c r="AA943" s="14"/>
      <c r="AB943" s="14"/>
      <c r="AC943" s="14"/>
      <c r="AD943" s="14"/>
      <c r="AE943" s="14"/>
      <c r="AF943" s="14"/>
      <c r="AG943" s="14"/>
      <c r="AH943" s="14"/>
      <c r="AI943" s="14"/>
      <c r="AJ943" s="14"/>
      <c r="AK943" s="14"/>
      <c r="AL943" s="14"/>
      <c r="AM943" s="14"/>
      <c r="AN943" s="163"/>
      <c r="AO943" s="163"/>
      <c r="AP943" s="14"/>
      <c r="AQ943" s="14"/>
      <c r="AR943" s="14"/>
      <c r="AS943" s="163"/>
      <c r="AT943" s="163"/>
      <c r="AU943" s="164"/>
      <c r="AV943" s="14"/>
      <c r="AW943" s="14"/>
      <c r="AX943" s="14"/>
      <c r="AY943" s="14"/>
      <c r="AZ943" s="14"/>
      <c r="BA943" s="14"/>
      <c r="BB943" s="14"/>
      <c r="BC943" s="14"/>
      <c r="BD943" s="14"/>
      <c r="BE943" s="14"/>
      <c r="BF943" s="14"/>
      <c r="BG943" s="14"/>
      <c r="BH943" s="14"/>
      <c r="BI943" s="14"/>
      <c r="BJ943" s="345"/>
      <c r="BK943" s="345"/>
      <c r="BL943" s="345"/>
      <c r="BM943" s="14"/>
      <c r="BN943" s="14"/>
      <c r="BO943" s="14"/>
    </row>
    <row r="944" spans="1:67" ht="20.100000000000001" customHeight="1">
      <c r="A944" s="14"/>
      <c r="B944" s="10"/>
      <c r="C944" s="14"/>
      <c r="D944" s="10"/>
      <c r="E944" s="10"/>
      <c r="F944" s="10"/>
      <c r="G944" s="15"/>
      <c r="H944" s="3"/>
      <c r="I944" s="3"/>
      <c r="J944" s="15"/>
      <c r="K944" s="15"/>
      <c r="L944" s="3"/>
      <c r="M944" s="15"/>
      <c r="N944" s="15"/>
      <c r="O944" s="15"/>
      <c r="P944" s="3"/>
      <c r="Q944" s="3"/>
      <c r="R944" s="16"/>
      <c r="S944" s="16"/>
      <c r="T944" s="16"/>
      <c r="U944" s="16"/>
      <c r="V944" s="10"/>
      <c r="W944" s="10"/>
      <c r="X944" s="14"/>
      <c r="Y944" s="14"/>
      <c r="Z944" s="14"/>
      <c r="AA944" s="14"/>
      <c r="AB944" s="14"/>
      <c r="AC944" s="14"/>
      <c r="AD944" s="14"/>
      <c r="AE944" s="14"/>
      <c r="AF944" s="14"/>
      <c r="AG944" s="14"/>
      <c r="AH944" s="14"/>
      <c r="AI944" s="14"/>
      <c r="AJ944" s="14"/>
      <c r="AK944" s="14"/>
      <c r="AL944" s="14"/>
      <c r="AM944" s="14"/>
      <c r="AN944" s="163"/>
      <c r="AO944" s="163"/>
      <c r="AP944" s="14"/>
      <c r="AQ944" s="14"/>
      <c r="AR944" s="14"/>
      <c r="AS944" s="163"/>
      <c r="AT944" s="163"/>
      <c r="AU944" s="164"/>
      <c r="AV944" s="14"/>
      <c r="AW944" s="14"/>
      <c r="AX944" s="14"/>
      <c r="AY944" s="14"/>
      <c r="AZ944" s="14"/>
      <c r="BA944" s="14"/>
      <c r="BB944" s="14"/>
      <c r="BC944" s="14"/>
      <c r="BD944" s="14"/>
      <c r="BE944" s="14"/>
      <c r="BF944" s="14"/>
      <c r="BG944" s="14"/>
      <c r="BH944" s="14"/>
      <c r="BI944" s="14"/>
      <c r="BJ944" s="345"/>
      <c r="BK944" s="345"/>
      <c r="BL944" s="345"/>
      <c r="BM944" s="14"/>
      <c r="BN944" s="14"/>
      <c r="BO944" s="14"/>
    </row>
    <row r="945" spans="1:67" ht="20.100000000000001" customHeight="1">
      <c r="A945" s="14"/>
      <c r="B945" s="10"/>
      <c r="C945" s="14"/>
      <c r="D945" s="10"/>
      <c r="E945" s="10"/>
      <c r="F945" s="10"/>
      <c r="G945" s="15"/>
      <c r="H945" s="3"/>
      <c r="I945" s="3"/>
      <c r="J945" s="15"/>
      <c r="K945" s="15"/>
      <c r="L945" s="3"/>
      <c r="M945" s="15"/>
      <c r="N945" s="15"/>
      <c r="O945" s="15"/>
      <c r="P945" s="3"/>
      <c r="Q945" s="3"/>
      <c r="R945" s="16"/>
      <c r="S945" s="16"/>
      <c r="T945" s="16"/>
      <c r="U945" s="16"/>
      <c r="V945" s="10"/>
      <c r="W945" s="10"/>
      <c r="X945" s="14"/>
      <c r="Y945" s="14"/>
      <c r="Z945" s="14"/>
      <c r="AA945" s="14"/>
      <c r="AB945" s="14"/>
      <c r="AC945" s="14"/>
      <c r="AD945" s="14"/>
      <c r="AE945" s="14"/>
      <c r="AF945" s="14"/>
      <c r="AG945" s="14"/>
      <c r="AH945" s="14"/>
      <c r="AI945" s="14"/>
      <c r="AJ945" s="14"/>
      <c r="AK945" s="14"/>
      <c r="AL945" s="14"/>
      <c r="AM945" s="14"/>
      <c r="AN945" s="163"/>
      <c r="AO945" s="163"/>
      <c r="AP945" s="14"/>
      <c r="AQ945" s="14"/>
      <c r="AR945" s="14"/>
      <c r="AS945" s="163"/>
      <c r="AT945" s="163"/>
      <c r="AU945" s="164"/>
      <c r="AV945" s="14"/>
      <c r="AW945" s="14"/>
      <c r="AX945" s="14"/>
      <c r="AY945" s="14"/>
      <c r="AZ945" s="14"/>
      <c r="BA945" s="14"/>
      <c r="BB945" s="14"/>
      <c r="BC945" s="14"/>
      <c r="BD945" s="14"/>
      <c r="BE945" s="14"/>
      <c r="BF945" s="14"/>
      <c r="BG945" s="14"/>
      <c r="BH945" s="14"/>
      <c r="BI945" s="14"/>
      <c r="BJ945" s="345"/>
      <c r="BK945" s="345"/>
      <c r="BL945" s="345"/>
      <c r="BM945" s="14"/>
      <c r="BN945" s="14"/>
      <c r="BO945" s="14"/>
    </row>
    <row r="946" spans="1:67" ht="20.100000000000001" customHeight="1">
      <c r="A946" s="14"/>
      <c r="B946" s="10"/>
      <c r="C946" s="14"/>
      <c r="D946" s="10"/>
      <c r="E946" s="10"/>
      <c r="F946" s="10"/>
      <c r="G946" s="15"/>
      <c r="H946" s="3"/>
      <c r="I946" s="3"/>
      <c r="J946" s="15"/>
      <c r="K946" s="15"/>
      <c r="L946" s="3"/>
      <c r="M946" s="15"/>
      <c r="N946" s="15"/>
      <c r="O946" s="15"/>
      <c r="P946" s="3"/>
      <c r="Q946" s="3"/>
      <c r="R946" s="16"/>
      <c r="S946" s="16"/>
      <c r="T946" s="16"/>
      <c r="U946" s="16"/>
      <c r="V946" s="10"/>
      <c r="W946" s="10"/>
      <c r="X946" s="14"/>
      <c r="Y946" s="14"/>
      <c r="Z946" s="14"/>
      <c r="AA946" s="14"/>
      <c r="AB946" s="14"/>
      <c r="AC946" s="14"/>
      <c r="AD946" s="14"/>
      <c r="AE946" s="14"/>
      <c r="AF946" s="14"/>
      <c r="AG946" s="14"/>
      <c r="AH946" s="14"/>
      <c r="AI946" s="14"/>
      <c r="AJ946" s="14"/>
      <c r="AK946" s="14"/>
      <c r="AL946" s="14"/>
      <c r="AM946" s="14"/>
      <c r="AN946" s="163"/>
      <c r="AO946" s="163"/>
      <c r="AP946" s="14"/>
      <c r="AQ946" s="14"/>
      <c r="AR946" s="14"/>
      <c r="AS946" s="163"/>
      <c r="AT946" s="163"/>
      <c r="AU946" s="164"/>
      <c r="AV946" s="14"/>
      <c r="AW946" s="14"/>
      <c r="AX946" s="14"/>
      <c r="AY946" s="14"/>
      <c r="AZ946" s="14"/>
      <c r="BA946" s="14"/>
      <c r="BB946" s="14"/>
      <c r="BC946" s="14"/>
      <c r="BD946" s="14"/>
      <c r="BE946" s="14"/>
      <c r="BF946" s="14"/>
      <c r="BG946" s="14"/>
      <c r="BH946" s="14"/>
      <c r="BI946" s="14"/>
      <c r="BJ946" s="345"/>
      <c r="BK946" s="345"/>
      <c r="BL946" s="345"/>
      <c r="BM946" s="14"/>
      <c r="BN946" s="14"/>
      <c r="BO946" s="14"/>
    </row>
    <row r="947" spans="1:67" ht="20.100000000000001" customHeight="1">
      <c r="A947" s="14"/>
      <c r="B947" s="10"/>
      <c r="C947" s="14"/>
      <c r="D947" s="10"/>
      <c r="E947" s="10"/>
      <c r="F947" s="10"/>
      <c r="G947" s="15"/>
      <c r="H947" s="3"/>
      <c r="I947" s="3"/>
      <c r="J947" s="15"/>
      <c r="K947" s="15"/>
      <c r="L947" s="3"/>
      <c r="M947" s="15"/>
      <c r="N947" s="15"/>
      <c r="O947" s="15"/>
      <c r="P947" s="3"/>
      <c r="Q947" s="3"/>
      <c r="R947" s="16"/>
      <c r="S947" s="16"/>
      <c r="T947" s="16"/>
      <c r="U947" s="16"/>
      <c r="V947" s="10"/>
      <c r="W947" s="10"/>
      <c r="X947" s="14"/>
      <c r="Y947" s="14"/>
      <c r="Z947" s="14"/>
      <c r="AA947" s="14"/>
      <c r="AB947" s="14"/>
      <c r="AC947" s="14"/>
      <c r="AD947" s="14"/>
      <c r="AE947" s="14"/>
      <c r="AF947" s="14"/>
      <c r="AG947" s="14"/>
      <c r="AH947" s="14"/>
      <c r="AI947" s="14"/>
      <c r="AJ947" s="14"/>
      <c r="AK947" s="14"/>
      <c r="AL947" s="14"/>
      <c r="AM947" s="14"/>
      <c r="AN947" s="163"/>
      <c r="AO947" s="163"/>
      <c r="AP947" s="14"/>
      <c r="AQ947" s="14"/>
      <c r="AR947" s="14"/>
      <c r="AS947" s="163"/>
      <c r="AT947" s="163"/>
      <c r="AU947" s="164"/>
      <c r="AV947" s="14"/>
      <c r="AW947" s="14"/>
      <c r="AX947" s="14"/>
      <c r="AY947" s="14"/>
      <c r="AZ947" s="14"/>
      <c r="BA947" s="14"/>
      <c r="BB947" s="14"/>
      <c r="BC947" s="14"/>
      <c r="BD947" s="14"/>
      <c r="BE947" s="14"/>
      <c r="BF947" s="14"/>
      <c r="BG947" s="14"/>
      <c r="BH947" s="14"/>
      <c r="BI947" s="14"/>
      <c r="BJ947" s="345"/>
      <c r="BK947" s="345"/>
      <c r="BL947" s="345"/>
      <c r="BM947" s="14"/>
      <c r="BN947" s="14"/>
      <c r="BO947" s="14"/>
    </row>
    <row r="948" spans="1:67" ht="20.100000000000001" customHeight="1">
      <c r="A948" s="14"/>
      <c r="B948" s="10"/>
      <c r="C948" s="14"/>
      <c r="D948" s="10"/>
      <c r="E948" s="10"/>
      <c r="F948" s="10"/>
      <c r="G948" s="15"/>
      <c r="H948" s="3"/>
      <c r="I948" s="3"/>
      <c r="J948" s="15"/>
      <c r="K948" s="15"/>
      <c r="L948" s="3"/>
      <c r="M948" s="15"/>
      <c r="N948" s="15"/>
      <c r="O948" s="15"/>
      <c r="P948" s="3"/>
      <c r="Q948" s="3"/>
      <c r="R948" s="16"/>
      <c r="S948" s="16"/>
      <c r="T948" s="16"/>
      <c r="U948" s="16"/>
      <c r="V948" s="10"/>
      <c r="W948" s="10"/>
      <c r="X948" s="14"/>
      <c r="Y948" s="14"/>
      <c r="Z948" s="14"/>
      <c r="AA948" s="14"/>
      <c r="AB948" s="14"/>
      <c r="AC948" s="14"/>
      <c r="AD948" s="14"/>
      <c r="AE948" s="14"/>
      <c r="AF948" s="14"/>
      <c r="AG948" s="14"/>
      <c r="AH948" s="14"/>
      <c r="AI948" s="14"/>
      <c r="AJ948" s="14"/>
      <c r="AK948" s="14"/>
      <c r="AL948" s="14"/>
      <c r="AM948" s="14"/>
      <c r="AN948" s="163"/>
      <c r="AO948" s="163"/>
      <c r="AP948" s="14"/>
      <c r="AQ948" s="14"/>
      <c r="AR948" s="14"/>
      <c r="AS948" s="163"/>
      <c r="AT948" s="163"/>
      <c r="AU948" s="164"/>
      <c r="AV948" s="14"/>
      <c r="AW948" s="14"/>
      <c r="AX948" s="14"/>
      <c r="AY948" s="14"/>
      <c r="AZ948" s="14"/>
      <c r="BA948" s="14"/>
      <c r="BB948" s="14"/>
      <c r="BC948" s="14"/>
      <c r="BD948" s="14"/>
      <c r="BE948" s="14"/>
      <c r="BF948" s="14"/>
      <c r="BG948" s="14"/>
      <c r="BH948" s="14"/>
      <c r="BI948" s="14"/>
      <c r="BJ948" s="345"/>
      <c r="BK948" s="345"/>
      <c r="BL948" s="345"/>
      <c r="BM948" s="14"/>
      <c r="BN948" s="14"/>
      <c r="BO948" s="14"/>
    </row>
    <row r="949" spans="1:67" ht="20.100000000000001" customHeight="1">
      <c r="A949" s="14"/>
      <c r="B949" s="10"/>
      <c r="C949" s="14"/>
      <c r="D949" s="10"/>
      <c r="E949" s="10"/>
      <c r="F949" s="10"/>
      <c r="G949" s="15"/>
      <c r="H949" s="3"/>
      <c r="I949" s="3"/>
      <c r="J949" s="15"/>
      <c r="K949" s="15"/>
      <c r="L949" s="3"/>
      <c r="M949" s="15"/>
      <c r="N949" s="15"/>
      <c r="O949" s="15"/>
      <c r="P949" s="3"/>
      <c r="Q949" s="3"/>
      <c r="R949" s="16"/>
      <c r="S949" s="16"/>
      <c r="T949" s="16"/>
      <c r="U949" s="16"/>
      <c r="V949" s="10"/>
      <c r="W949" s="10"/>
      <c r="X949" s="14"/>
      <c r="Y949" s="14"/>
      <c r="Z949" s="14"/>
      <c r="AA949" s="14"/>
      <c r="AB949" s="14"/>
      <c r="AC949" s="14"/>
      <c r="AD949" s="14"/>
      <c r="AE949" s="14"/>
      <c r="AF949" s="14"/>
      <c r="AG949" s="14"/>
      <c r="AH949" s="14"/>
      <c r="AI949" s="14"/>
      <c r="AJ949" s="14"/>
      <c r="AK949" s="14"/>
      <c r="AL949" s="14"/>
      <c r="AM949" s="14"/>
      <c r="AN949" s="163"/>
      <c r="AO949" s="163"/>
      <c r="AP949" s="14"/>
      <c r="AQ949" s="14"/>
      <c r="AR949" s="14"/>
      <c r="AS949" s="163"/>
      <c r="AT949" s="163"/>
      <c r="AU949" s="164"/>
      <c r="AV949" s="14"/>
      <c r="AW949" s="14"/>
      <c r="AX949" s="14"/>
      <c r="AY949" s="14"/>
      <c r="AZ949" s="14"/>
      <c r="BA949" s="14"/>
      <c r="BB949" s="14"/>
      <c r="BC949" s="14"/>
      <c r="BD949" s="14"/>
      <c r="BE949" s="14"/>
      <c r="BF949" s="14"/>
      <c r="BG949" s="14"/>
      <c r="BH949" s="14"/>
      <c r="BI949" s="14"/>
      <c r="BJ949" s="345"/>
      <c r="BK949" s="345"/>
      <c r="BL949" s="345"/>
      <c r="BM949" s="14"/>
      <c r="BN949" s="14"/>
      <c r="BO949" s="14"/>
    </row>
    <row r="950" spans="1:67" ht="20.100000000000001" customHeight="1">
      <c r="A950" s="14"/>
      <c r="B950" s="10"/>
      <c r="C950" s="14"/>
      <c r="D950" s="10"/>
      <c r="E950" s="10"/>
      <c r="F950" s="10"/>
      <c r="G950" s="15"/>
      <c r="H950" s="3"/>
      <c r="I950" s="3"/>
      <c r="J950" s="15"/>
      <c r="K950" s="15"/>
      <c r="L950" s="3"/>
      <c r="M950" s="15"/>
      <c r="N950" s="15"/>
      <c r="O950" s="15"/>
      <c r="P950" s="3"/>
      <c r="Q950" s="3"/>
      <c r="R950" s="16"/>
      <c r="S950" s="16"/>
      <c r="T950" s="16"/>
      <c r="U950" s="16"/>
      <c r="V950" s="10"/>
      <c r="W950" s="10"/>
      <c r="X950" s="14"/>
      <c r="Y950" s="14"/>
      <c r="Z950" s="14"/>
      <c r="AA950" s="14"/>
      <c r="AB950" s="14"/>
      <c r="AC950" s="14"/>
      <c r="AD950" s="14"/>
      <c r="AE950" s="14"/>
      <c r="AF950" s="14"/>
      <c r="AG950" s="14"/>
      <c r="AH950" s="14"/>
      <c r="AI950" s="14"/>
      <c r="AJ950" s="14"/>
      <c r="AK950" s="14"/>
      <c r="AL950" s="14"/>
      <c r="AM950" s="14"/>
      <c r="AN950" s="163"/>
      <c r="AO950" s="163"/>
      <c r="AP950" s="14"/>
      <c r="AQ950" s="14"/>
      <c r="AR950" s="14"/>
      <c r="AS950" s="163"/>
      <c r="AT950" s="163"/>
      <c r="AU950" s="164"/>
      <c r="AV950" s="14"/>
      <c r="AW950" s="14"/>
      <c r="AX950" s="14"/>
      <c r="AY950" s="14"/>
      <c r="AZ950" s="14"/>
      <c r="BA950" s="14"/>
      <c r="BB950" s="14"/>
      <c r="BC950" s="14"/>
      <c r="BD950" s="14"/>
      <c r="BE950" s="14"/>
      <c r="BF950" s="14"/>
      <c r="BG950" s="14"/>
      <c r="BH950" s="14"/>
      <c r="BI950" s="14"/>
      <c r="BJ950" s="345"/>
      <c r="BK950" s="345"/>
      <c r="BL950" s="345"/>
      <c r="BM950" s="14"/>
      <c r="BN950" s="14"/>
      <c r="BO950" s="14"/>
    </row>
    <row r="951" spans="1:67" ht="20.100000000000001" customHeight="1">
      <c r="A951" s="14"/>
      <c r="B951" s="10"/>
      <c r="C951" s="14"/>
      <c r="D951" s="10"/>
      <c r="E951" s="10"/>
      <c r="F951" s="10"/>
      <c r="G951" s="15"/>
      <c r="H951" s="3"/>
      <c r="I951" s="3"/>
      <c r="J951" s="15"/>
      <c r="K951" s="15"/>
      <c r="L951" s="3"/>
      <c r="M951" s="15"/>
      <c r="N951" s="15"/>
      <c r="O951" s="15"/>
      <c r="P951" s="3"/>
      <c r="Q951" s="3"/>
      <c r="R951" s="16"/>
      <c r="S951" s="16"/>
      <c r="T951" s="16"/>
      <c r="U951" s="16"/>
      <c r="V951" s="10"/>
      <c r="W951" s="10"/>
      <c r="X951" s="14"/>
      <c r="Y951" s="14"/>
      <c r="Z951" s="14"/>
      <c r="AA951" s="14"/>
      <c r="AB951" s="14"/>
      <c r="AC951" s="14"/>
      <c r="AD951" s="14"/>
      <c r="AE951" s="14"/>
      <c r="AF951" s="14"/>
      <c r="AG951" s="14"/>
      <c r="AH951" s="14"/>
      <c r="AI951" s="14"/>
      <c r="AJ951" s="14"/>
      <c r="AK951" s="14"/>
      <c r="AL951" s="14"/>
      <c r="AM951" s="14"/>
      <c r="AN951" s="163"/>
      <c r="AO951" s="163"/>
      <c r="AP951" s="14"/>
      <c r="AQ951" s="14"/>
      <c r="AR951" s="14"/>
      <c r="AS951" s="163"/>
      <c r="AT951" s="163"/>
      <c r="AU951" s="164"/>
      <c r="AV951" s="14"/>
      <c r="AW951" s="14"/>
      <c r="AX951" s="14"/>
      <c r="AY951" s="14"/>
      <c r="AZ951" s="14"/>
      <c r="BA951" s="14"/>
      <c r="BB951" s="14"/>
      <c r="BC951" s="14"/>
      <c r="BD951" s="14"/>
      <c r="BE951" s="14"/>
      <c r="BF951" s="14"/>
      <c r="BG951" s="14"/>
      <c r="BH951" s="14"/>
      <c r="BI951" s="14"/>
      <c r="BJ951" s="345"/>
      <c r="BK951" s="345"/>
      <c r="BL951" s="345"/>
      <c r="BM951" s="14"/>
      <c r="BN951" s="14"/>
      <c r="BO951" s="14"/>
    </row>
    <row r="952" spans="1:67" ht="20.100000000000001" customHeight="1">
      <c r="A952" s="14"/>
      <c r="B952" s="10"/>
      <c r="C952" s="14"/>
      <c r="D952" s="10"/>
      <c r="E952" s="10"/>
      <c r="F952" s="10"/>
      <c r="G952" s="15"/>
      <c r="H952" s="3"/>
      <c r="I952" s="3"/>
      <c r="J952" s="15"/>
      <c r="K952" s="15"/>
      <c r="L952" s="3"/>
      <c r="M952" s="15"/>
      <c r="N952" s="15"/>
      <c r="O952" s="15"/>
      <c r="P952" s="3"/>
      <c r="Q952" s="3"/>
      <c r="R952" s="16"/>
      <c r="S952" s="16"/>
      <c r="T952" s="16"/>
      <c r="U952" s="16"/>
      <c r="V952" s="10"/>
      <c r="W952" s="10"/>
      <c r="X952" s="14"/>
      <c r="Y952" s="14"/>
      <c r="Z952" s="14"/>
      <c r="AA952" s="14"/>
      <c r="AB952" s="14"/>
      <c r="AC952" s="14"/>
      <c r="AD952" s="14"/>
      <c r="AE952" s="14"/>
      <c r="AF952" s="14"/>
      <c r="AG952" s="14"/>
      <c r="AH952" s="14"/>
      <c r="AI952" s="14"/>
      <c r="AJ952" s="14"/>
      <c r="AK952" s="14"/>
      <c r="AL952" s="14"/>
      <c r="AM952" s="14"/>
      <c r="AN952" s="163"/>
      <c r="AO952" s="163"/>
      <c r="AP952" s="14"/>
      <c r="AQ952" s="14"/>
      <c r="AR952" s="14"/>
      <c r="AS952" s="163"/>
      <c r="AT952" s="163"/>
      <c r="AU952" s="164"/>
      <c r="AV952" s="14"/>
      <c r="AW952" s="14"/>
      <c r="AX952" s="14"/>
      <c r="AY952" s="14"/>
      <c r="AZ952" s="14"/>
      <c r="BA952" s="14"/>
      <c r="BB952" s="14"/>
      <c r="BC952" s="14"/>
      <c r="BD952" s="14"/>
      <c r="BE952" s="14"/>
      <c r="BF952" s="14"/>
      <c r="BG952" s="14"/>
      <c r="BH952" s="14"/>
      <c r="BI952" s="14"/>
      <c r="BJ952" s="345"/>
      <c r="BK952" s="345"/>
      <c r="BL952" s="345"/>
      <c r="BM952" s="14"/>
      <c r="BN952" s="14"/>
      <c r="BO952" s="14"/>
    </row>
    <row r="953" spans="1:67" ht="20.100000000000001" customHeight="1">
      <c r="A953" s="14"/>
      <c r="B953" s="10"/>
      <c r="C953" s="14"/>
      <c r="D953" s="10"/>
      <c r="E953" s="10"/>
      <c r="F953" s="10"/>
      <c r="G953" s="15"/>
      <c r="H953" s="3"/>
      <c r="I953" s="3"/>
      <c r="J953" s="15"/>
      <c r="K953" s="15"/>
      <c r="L953" s="3"/>
      <c r="M953" s="15"/>
      <c r="N953" s="15"/>
      <c r="O953" s="15"/>
      <c r="P953" s="3"/>
      <c r="Q953" s="3"/>
      <c r="R953" s="16"/>
      <c r="S953" s="16"/>
      <c r="T953" s="16"/>
      <c r="U953" s="16"/>
      <c r="V953" s="10"/>
      <c r="W953" s="10"/>
      <c r="X953" s="14"/>
      <c r="Y953" s="14"/>
      <c r="Z953" s="14"/>
      <c r="AA953" s="14"/>
      <c r="AB953" s="14"/>
      <c r="AC953" s="14"/>
      <c r="AD953" s="14"/>
      <c r="AE953" s="14"/>
      <c r="AF953" s="14"/>
      <c r="AG953" s="14"/>
      <c r="AH953" s="14"/>
      <c r="AI953" s="14"/>
      <c r="AJ953" s="14"/>
      <c r="AK953" s="14"/>
      <c r="AL953" s="14"/>
      <c r="AM953" s="14"/>
      <c r="AN953" s="163"/>
      <c r="AO953" s="163"/>
      <c r="AP953" s="14"/>
      <c r="AQ953" s="14"/>
      <c r="AR953" s="14"/>
      <c r="AS953" s="163"/>
      <c r="AT953" s="163"/>
      <c r="AU953" s="164"/>
      <c r="AV953" s="14"/>
      <c r="AW953" s="14"/>
      <c r="AX953" s="14"/>
      <c r="AY953" s="14"/>
      <c r="AZ953" s="14"/>
      <c r="BA953" s="14"/>
      <c r="BB953" s="14"/>
      <c r="BC953" s="14"/>
      <c r="BD953" s="14"/>
      <c r="BE953" s="14"/>
      <c r="BF953" s="14"/>
      <c r="BG953" s="14"/>
      <c r="BH953" s="14"/>
      <c r="BI953" s="14"/>
      <c r="BJ953" s="345"/>
      <c r="BK953" s="345"/>
      <c r="BL953" s="345"/>
      <c r="BM953" s="14"/>
      <c r="BN953" s="14"/>
      <c r="BO953" s="14"/>
    </row>
    <row r="954" spans="1:67" ht="20.100000000000001" customHeight="1">
      <c r="A954" s="14"/>
      <c r="B954" s="10"/>
      <c r="C954" s="14"/>
      <c r="D954" s="10"/>
      <c r="E954" s="10"/>
      <c r="F954" s="10"/>
      <c r="G954" s="15"/>
      <c r="H954" s="3"/>
      <c r="I954" s="3"/>
      <c r="J954" s="15"/>
      <c r="K954" s="15"/>
      <c r="L954" s="3"/>
      <c r="M954" s="15"/>
      <c r="N954" s="15"/>
      <c r="O954" s="15"/>
      <c r="P954" s="3"/>
      <c r="Q954" s="3"/>
      <c r="R954" s="16"/>
      <c r="S954" s="16"/>
      <c r="T954" s="16"/>
      <c r="U954" s="16"/>
      <c r="V954" s="10"/>
      <c r="W954" s="10"/>
      <c r="X954" s="14"/>
      <c r="Y954" s="14"/>
      <c r="Z954" s="14"/>
      <c r="AA954" s="14"/>
      <c r="AB954" s="14"/>
      <c r="AC954" s="14"/>
      <c r="AD954" s="14"/>
      <c r="AE954" s="14"/>
      <c r="AF954" s="14"/>
      <c r="AG954" s="14"/>
      <c r="AH954" s="14"/>
      <c r="AI954" s="14"/>
      <c r="AJ954" s="14"/>
      <c r="AK954" s="14"/>
      <c r="AL954" s="14"/>
      <c r="AM954" s="14"/>
      <c r="AN954" s="163"/>
      <c r="AO954" s="163"/>
      <c r="AP954" s="14"/>
      <c r="AQ954" s="14"/>
      <c r="AR954" s="14"/>
      <c r="AS954" s="163"/>
      <c r="AT954" s="163"/>
      <c r="AU954" s="164"/>
      <c r="AV954" s="14"/>
      <c r="AW954" s="14"/>
      <c r="AX954" s="14"/>
      <c r="AY954" s="14"/>
      <c r="AZ954" s="14"/>
      <c r="BA954" s="14"/>
      <c r="BB954" s="14"/>
      <c r="BC954" s="14"/>
      <c r="BD954" s="14"/>
      <c r="BE954" s="14"/>
      <c r="BF954" s="14"/>
      <c r="BG954" s="14"/>
      <c r="BH954" s="14"/>
      <c r="BI954" s="14"/>
      <c r="BJ954" s="345"/>
      <c r="BK954" s="345"/>
      <c r="BL954" s="345"/>
      <c r="BM954" s="14"/>
      <c r="BN954" s="14"/>
      <c r="BO954" s="14"/>
    </row>
    <row r="955" spans="1:67" ht="20.100000000000001" customHeight="1">
      <c r="A955" s="14"/>
      <c r="B955" s="10"/>
      <c r="C955" s="14"/>
      <c r="D955" s="10"/>
      <c r="E955" s="10"/>
      <c r="F955" s="10"/>
      <c r="G955" s="15"/>
      <c r="H955" s="3"/>
      <c r="I955" s="3"/>
      <c r="J955" s="15"/>
      <c r="K955" s="15"/>
      <c r="L955" s="3"/>
      <c r="M955" s="15"/>
      <c r="N955" s="15"/>
      <c r="O955" s="15"/>
      <c r="P955" s="3"/>
      <c r="Q955" s="3"/>
      <c r="R955" s="16"/>
      <c r="S955" s="16"/>
      <c r="T955" s="16"/>
      <c r="U955" s="16"/>
      <c r="V955" s="10"/>
      <c r="W955" s="10"/>
      <c r="X955" s="14"/>
      <c r="Y955" s="14"/>
      <c r="Z955" s="14"/>
      <c r="AA955" s="14"/>
      <c r="AB955" s="14"/>
      <c r="AC955" s="14"/>
      <c r="AD955" s="14"/>
      <c r="AE955" s="14"/>
      <c r="AF955" s="14"/>
      <c r="AG955" s="14"/>
      <c r="AH955" s="14"/>
      <c r="AI955" s="14"/>
      <c r="AJ955" s="14"/>
      <c r="AK955" s="14"/>
      <c r="AL955" s="14"/>
      <c r="AM955" s="14"/>
      <c r="AN955" s="163"/>
      <c r="AO955" s="163"/>
      <c r="AP955" s="14"/>
      <c r="AQ955" s="14"/>
      <c r="AR955" s="14"/>
      <c r="AS955" s="163"/>
      <c r="AT955" s="163"/>
      <c r="AU955" s="164"/>
      <c r="AV955" s="14"/>
      <c r="AW955" s="14"/>
      <c r="AX955" s="14"/>
      <c r="AY955" s="14"/>
      <c r="AZ955" s="14"/>
      <c r="BA955" s="14"/>
      <c r="BB955" s="14"/>
      <c r="BC955" s="14"/>
      <c r="BD955" s="14"/>
      <c r="BE955" s="14"/>
      <c r="BF955" s="14"/>
      <c r="BG955" s="14"/>
      <c r="BH955" s="14"/>
      <c r="BI955" s="14"/>
      <c r="BJ955" s="345"/>
      <c r="BK955" s="345"/>
      <c r="BL955" s="345"/>
      <c r="BM955" s="14"/>
      <c r="BN955" s="14"/>
      <c r="BO955" s="14"/>
    </row>
    <row r="956" spans="1:67" ht="20.100000000000001" customHeight="1">
      <c r="A956" s="14"/>
      <c r="B956" s="10"/>
      <c r="C956" s="14"/>
      <c r="D956" s="10"/>
      <c r="E956" s="10"/>
      <c r="F956" s="10"/>
      <c r="G956" s="15"/>
      <c r="H956" s="3"/>
      <c r="I956" s="3"/>
      <c r="J956" s="15"/>
      <c r="K956" s="15"/>
      <c r="L956" s="3"/>
      <c r="M956" s="15"/>
      <c r="N956" s="15"/>
      <c r="O956" s="15"/>
      <c r="P956" s="3"/>
      <c r="Q956" s="3"/>
      <c r="R956" s="16"/>
      <c r="S956" s="16"/>
      <c r="T956" s="16"/>
      <c r="U956" s="16"/>
      <c r="V956" s="10"/>
      <c r="W956" s="10"/>
      <c r="X956" s="14"/>
      <c r="Y956" s="14"/>
      <c r="Z956" s="14"/>
      <c r="AA956" s="14"/>
      <c r="AB956" s="14"/>
      <c r="AC956" s="14"/>
      <c r="AD956" s="14"/>
      <c r="AE956" s="14"/>
      <c r="AF956" s="14"/>
      <c r="AG956" s="14"/>
      <c r="AH956" s="14"/>
      <c r="AI956" s="14"/>
      <c r="AJ956" s="14"/>
      <c r="AK956" s="14"/>
      <c r="AL956" s="14"/>
      <c r="AM956" s="14"/>
      <c r="AN956" s="163"/>
      <c r="AO956" s="163"/>
      <c r="AP956" s="14"/>
      <c r="AQ956" s="14"/>
      <c r="AR956" s="14"/>
      <c r="AS956" s="163"/>
      <c r="AT956" s="163"/>
      <c r="AU956" s="164"/>
      <c r="AV956" s="14"/>
      <c r="AW956" s="14"/>
      <c r="AX956" s="14"/>
      <c r="AY956" s="14"/>
      <c r="AZ956" s="14"/>
      <c r="BA956" s="14"/>
      <c r="BB956" s="14"/>
      <c r="BC956" s="14"/>
      <c r="BD956" s="14"/>
      <c r="BE956" s="14"/>
      <c r="BF956" s="14"/>
      <c r="BG956" s="14"/>
      <c r="BH956" s="14"/>
      <c r="BI956" s="14"/>
      <c r="BJ956" s="345"/>
      <c r="BK956" s="345"/>
      <c r="BL956" s="345"/>
      <c r="BM956" s="14"/>
      <c r="BN956" s="14"/>
      <c r="BO956" s="14"/>
    </row>
    <row r="957" spans="1:67" ht="20.100000000000001" customHeight="1">
      <c r="A957" s="14"/>
      <c r="B957" s="10"/>
      <c r="C957" s="14"/>
      <c r="D957" s="10"/>
      <c r="E957" s="10"/>
      <c r="F957" s="10"/>
      <c r="G957" s="15"/>
      <c r="H957" s="3"/>
      <c r="I957" s="3"/>
      <c r="J957" s="15"/>
      <c r="K957" s="15"/>
      <c r="L957" s="3"/>
      <c r="M957" s="15"/>
      <c r="N957" s="15"/>
      <c r="O957" s="15"/>
      <c r="P957" s="3"/>
      <c r="Q957" s="3"/>
      <c r="R957" s="16"/>
      <c r="S957" s="16"/>
      <c r="T957" s="16"/>
      <c r="U957" s="16"/>
      <c r="V957" s="10"/>
      <c r="W957" s="10"/>
      <c r="X957" s="14"/>
      <c r="Y957" s="14"/>
      <c r="Z957" s="14"/>
      <c r="AA957" s="14"/>
      <c r="AB957" s="14"/>
      <c r="AC957" s="14"/>
      <c r="AD957" s="14"/>
      <c r="AE957" s="14"/>
      <c r="AF957" s="14"/>
      <c r="AG957" s="14"/>
      <c r="AH957" s="14"/>
      <c r="AI957" s="14"/>
      <c r="AJ957" s="14"/>
      <c r="AK957" s="14"/>
      <c r="AL957" s="14"/>
      <c r="AM957" s="14"/>
      <c r="AN957" s="163"/>
      <c r="AO957" s="163"/>
      <c r="AP957" s="14"/>
      <c r="AQ957" s="14"/>
      <c r="AR957" s="14"/>
      <c r="AS957" s="163"/>
      <c r="AT957" s="163"/>
      <c r="AU957" s="164"/>
      <c r="AV957" s="14"/>
      <c r="AW957" s="14"/>
      <c r="AX957" s="14"/>
      <c r="AY957" s="14"/>
      <c r="AZ957" s="14"/>
      <c r="BA957" s="14"/>
      <c r="BB957" s="14"/>
      <c r="BC957" s="14"/>
      <c r="BD957" s="14"/>
      <c r="BE957" s="14"/>
      <c r="BF957" s="14"/>
      <c r="BG957" s="14"/>
      <c r="BH957" s="14"/>
      <c r="BI957" s="14"/>
      <c r="BJ957" s="345"/>
      <c r="BK957" s="345"/>
      <c r="BL957" s="345"/>
      <c r="BM957" s="14"/>
      <c r="BN957" s="14"/>
      <c r="BO957" s="14"/>
    </row>
    <row r="958" spans="1:67" ht="20.100000000000001" customHeight="1">
      <c r="A958" s="14"/>
      <c r="B958" s="10"/>
      <c r="C958" s="14"/>
      <c r="D958" s="10"/>
      <c r="E958" s="10"/>
      <c r="F958" s="10"/>
      <c r="G958" s="15"/>
      <c r="H958" s="3"/>
      <c r="I958" s="3"/>
      <c r="J958" s="15"/>
      <c r="K958" s="15"/>
      <c r="L958" s="3"/>
      <c r="M958" s="15"/>
      <c r="N958" s="15"/>
      <c r="O958" s="15"/>
      <c r="P958" s="3"/>
      <c r="Q958" s="3"/>
      <c r="R958" s="16"/>
      <c r="S958" s="16"/>
      <c r="T958" s="16"/>
      <c r="U958" s="16"/>
      <c r="V958" s="10"/>
      <c r="W958" s="10"/>
      <c r="X958" s="14"/>
      <c r="Y958" s="14"/>
      <c r="Z958" s="14"/>
      <c r="AA958" s="14"/>
      <c r="AB958" s="14"/>
      <c r="AC958" s="14"/>
      <c r="AD958" s="14"/>
      <c r="AE958" s="14"/>
      <c r="AF958" s="14"/>
      <c r="AG958" s="14"/>
      <c r="AH958" s="14"/>
      <c r="AI958" s="14"/>
      <c r="AJ958" s="14"/>
      <c r="AK958" s="14"/>
      <c r="AL958" s="14"/>
      <c r="AM958" s="14"/>
      <c r="AN958" s="163"/>
      <c r="AO958" s="163"/>
      <c r="AP958" s="14"/>
      <c r="AQ958" s="14"/>
      <c r="AR958" s="14"/>
      <c r="AS958" s="163"/>
      <c r="AT958" s="163"/>
      <c r="AU958" s="164"/>
      <c r="AV958" s="14"/>
      <c r="AW958" s="14"/>
      <c r="AX958" s="14"/>
      <c r="AY958" s="14"/>
      <c r="AZ958" s="14"/>
      <c r="BA958" s="14"/>
      <c r="BB958" s="14"/>
      <c r="BC958" s="14"/>
      <c r="BD958" s="14"/>
      <c r="BE958" s="14"/>
      <c r="BF958" s="14"/>
      <c r="BG958" s="14"/>
      <c r="BH958" s="14"/>
      <c r="BI958" s="14"/>
      <c r="BJ958" s="345"/>
      <c r="BK958" s="345"/>
      <c r="BL958" s="345"/>
      <c r="BM958" s="14"/>
      <c r="BN958" s="14"/>
      <c r="BO958" s="14"/>
    </row>
    <row r="959" spans="1:67" ht="20.100000000000001" customHeight="1">
      <c r="A959" s="14"/>
      <c r="B959" s="10"/>
      <c r="C959" s="14"/>
      <c r="D959" s="10"/>
      <c r="E959" s="10"/>
      <c r="F959" s="10"/>
      <c r="G959" s="15"/>
      <c r="H959" s="3"/>
      <c r="I959" s="3"/>
      <c r="J959" s="15"/>
      <c r="K959" s="15"/>
      <c r="L959" s="3"/>
      <c r="M959" s="15"/>
      <c r="N959" s="15"/>
      <c r="O959" s="15"/>
      <c r="P959" s="3"/>
      <c r="Q959" s="3"/>
      <c r="R959" s="16"/>
      <c r="S959" s="16"/>
      <c r="T959" s="16"/>
      <c r="U959" s="16"/>
      <c r="V959" s="10"/>
      <c r="W959" s="10"/>
      <c r="X959" s="14"/>
      <c r="Y959" s="14"/>
      <c r="Z959" s="14"/>
      <c r="AA959" s="14"/>
      <c r="AB959" s="14"/>
      <c r="AC959" s="14"/>
      <c r="AD959" s="14"/>
      <c r="AE959" s="14"/>
      <c r="AF959" s="14"/>
      <c r="AG959" s="14"/>
      <c r="AH959" s="14"/>
      <c r="AI959" s="14"/>
      <c r="AJ959" s="14"/>
      <c r="AK959" s="14"/>
      <c r="AL959" s="14"/>
      <c r="AM959" s="14"/>
      <c r="AN959" s="163"/>
      <c r="AO959" s="163"/>
      <c r="AP959" s="14"/>
      <c r="AQ959" s="14"/>
      <c r="AR959" s="14"/>
      <c r="AS959" s="163"/>
      <c r="AT959" s="163"/>
      <c r="AU959" s="164"/>
      <c r="AV959" s="14"/>
      <c r="AW959" s="14"/>
      <c r="AX959" s="14"/>
      <c r="AY959" s="14"/>
      <c r="AZ959" s="14"/>
      <c r="BA959" s="14"/>
      <c r="BB959" s="14"/>
      <c r="BC959" s="14"/>
      <c r="BD959" s="14"/>
      <c r="BE959" s="14"/>
      <c r="BF959" s="14"/>
      <c r="BG959" s="14"/>
      <c r="BH959" s="14"/>
      <c r="BI959" s="14"/>
      <c r="BJ959" s="345"/>
      <c r="BK959" s="345"/>
      <c r="BL959" s="345"/>
      <c r="BM959" s="14"/>
      <c r="BN959" s="14"/>
      <c r="BO959" s="14"/>
    </row>
    <row r="960" spans="1:67" ht="20.100000000000001" customHeight="1">
      <c r="A960" s="14"/>
      <c r="B960" s="10"/>
      <c r="C960" s="14"/>
      <c r="D960" s="10"/>
      <c r="E960" s="10"/>
      <c r="F960" s="10"/>
      <c r="G960" s="15"/>
      <c r="H960" s="3"/>
      <c r="I960" s="3"/>
      <c r="J960" s="15"/>
      <c r="K960" s="15"/>
      <c r="L960" s="3"/>
      <c r="M960" s="15"/>
      <c r="N960" s="15"/>
      <c r="O960" s="15"/>
      <c r="P960" s="3"/>
      <c r="Q960" s="3"/>
      <c r="R960" s="16"/>
      <c r="S960" s="16"/>
      <c r="T960" s="16"/>
      <c r="U960" s="16"/>
      <c r="V960" s="10"/>
      <c r="W960" s="10"/>
      <c r="X960" s="14"/>
      <c r="Y960" s="14"/>
      <c r="Z960" s="14"/>
      <c r="AA960" s="14"/>
      <c r="AB960" s="14"/>
      <c r="AC960" s="14"/>
      <c r="AD960" s="14"/>
      <c r="AE960" s="14"/>
      <c r="AF960" s="14"/>
      <c r="AG960" s="14"/>
      <c r="AH960" s="14"/>
      <c r="AI960" s="14"/>
      <c r="AJ960" s="14"/>
      <c r="AK960" s="14"/>
      <c r="AL960" s="14"/>
      <c r="AM960" s="14"/>
      <c r="AN960" s="163"/>
      <c r="AO960" s="163"/>
      <c r="AP960" s="14"/>
      <c r="AQ960" s="14"/>
      <c r="AR960" s="14"/>
      <c r="AS960" s="163"/>
      <c r="AT960" s="163"/>
      <c r="AU960" s="164"/>
      <c r="AV960" s="14"/>
      <c r="AW960" s="14"/>
      <c r="AX960" s="14"/>
      <c r="AY960" s="14"/>
      <c r="AZ960" s="14"/>
      <c r="BA960" s="14"/>
      <c r="BB960" s="14"/>
      <c r="BC960" s="14"/>
      <c r="BD960" s="14"/>
      <c r="BE960" s="14"/>
      <c r="BF960" s="14"/>
      <c r="BG960" s="14"/>
      <c r="BH960" s="14"/>
      <c r="BI960" s="14"/>
      <c r="BJ960" s="345"/>
      <c r="BK960" s="345"/>
      <c r="BL960" s="345"/>
      <c r="BM960" s="14"/>
      <c r="BN960" s="14"/>
      <c r="BO960" s="14"/>
    </row>
    <row r="961" spans="1:67" ht="20.100000000000001" customHeight="1">
      <c r="A961" s="14"/>
      <c r="B961" s="10"/>
      <c r="C961" s="14"/>
      <c r="D961" s="10"/>
      <c r="E961" s="10"/>
      <c r="F961" s="10"/>
      <c r="G961" s="15"/>
      <c r="H961" s="3"/>
      <c r="I961" s="3"/>
      <c r="J961" s="15"/>
      <c r="K961" s="15"/>
      <c r="L961" s="3"/>
      <c r="M961" s="15"/>
      <c r="N961" s="15"/>
      <c r="O961" s="15"/>
      <c r="P961" s="3"/>
      <c r="Q961" s="3"/>
      <c r="R961" s="16"/>
      <c r="S961" s="16"/>
      <c r="T961" s="16"/>
      <c r="U961" s="16"/>
      <c r="V961" s="10"/>
      <c r="W961" s="10"/>
      <c r="X961" s="14"/>
      <c r="Y961" s="14"/>
      <c r="Z961" s="14"/>
      <c r="AA961" s="14"/>
      <c r="AB961" s="14"/>
      <c r="AC961" s="14"/>
      <c r="AD961" s="14"/>
      <c r="AE961" s="14"/>
      <c r="AF961" s="14"/>
      <c r="AG961" s="14"/>
      <c r="AH961" s="14"/>
      <c r="AI961" s="14"/>
      <c r="AJ961" s="14"/>
      <c r="AK961" s="14"/>
      <c r="AL961" s="14"/>
      <c r="AM961" s="14"/>
      <c r="AN961" s="163"/>
      <c r="AO961" s="163"/>
      <c r="AP961" s="14"/>
      <c r="AQ961" s="14"/>
      <c r="AR961" s="14"/>
      <c r="AS961" s="163"/>
      <c r="AT961" s="163"/>
      <c r="AU961" s="164"/>
      <c r="AV961" s="14"/>
      <c r="AW961" s="14"/>
      <c r="AX961" s="14"/>
      <c r="AY961" s="14"/>
      <c r="AZ961" s="14"/>
      <c r="BA961" s="14"/>
      <c r="BB961" s="14"/>
      <c r="BC961" s="14"/>
      <c r="BD961" s="14"/>
      <c r="BE961" s="14"/>
      <c r="BF961" s="14"/>
      <c r="BG961" s="14"/>
      <c r="BH961" s="14"/>
      <c r="BI961" s="14"/>
      <c r="BJ961" s="345"/>
      <c r="BK961" s="345"/>
      <c r="BL961" s="345"/>
      <c r="BM961" s="14"/>
      <c r="BN961" s="14"/>
      <c r="BO961" s="14"/>
    </row>
    <row r="962" spans="1:67" ht="20.100000000000001" customHeight="1">
      <c r="A962" s="14"/>
      <c r="B962" s="10"/>
      <c r="C962" s="14"/>
      <c r="D962" s="10"/>
      <c r="E962" s="10"/>
      <c r="F962" s="10"/>
      <c r="G962" s="15"/>
      <c r="H962" s="3"/>
      <c r="I962" s="3"/>
      <c r="J962" s="15"/>
      <c r="K962" s="15"/>
      <c r="L962" s="3"/>
      <c r="M962" s="15"/>
      <c r="N962" s="15"/>
      <c r="O962" s="15"/>
      <c r="P962" s="3"/>
      <c r="Q962" s="3"/>
      <c r="R962" s="16"/>
      <c r="S962" s="16"/>
      <c r="T962" s="16"/>
      <c r="U962" s="16"/>
      <c r="V962" s="10"/>
      <c r="W962" s="10"/>
      <c r="X962" s="14"/>
      <c r="Y962" s="14"/>
      <c r="Z962" s="14"/>
      <c r="AA962" s="14"/>
      <c r="AB962" s="14"/>
      <c r="AC962" s="14"/>
      <c r="AD962" s="14"/>
      <c r="AE962" s="14"/>
      <c r="AF962" s="14"/>
      <c r="AG962" s="14"/>
      <c r="AH962" s="14"/>
      <c r="AI962" s="14"/>
      <c r="AJ962" s="14"/>
      <c r="AK962" s="14"/>
      <c r="AL962" s="14"/>
      <c r="AM962" s="14"/>
      <c r="AN962" s="163"/>
      <c r="AO962" s="163"/>
      <c r="AP962" s="14"/>
      <c r="AQ962" s="14"/>
      <c r="AR962" s="14"/>
      <c r="AS962" s="163"/>
      <c r="AT962" s="163"/>
      <c r="AU962" s="164"/>
      <c r="AV962" s="14"/>
      <c r="AW962" s="14"/>
      <c r="AX962" s="14"/>
      <c r="AY962" s="14"/>
      <c r="AZ962" s="14"/>
      <c r="BA962" s="14"/>
      <c r="BB962" s="14"/>
      <c r="BC962" s="14"/>
      <c r="BD962" s="14"/>
      <c r="BE962" s="14"/>
      <c r="BF962" s="14"/>
      <c r="BG962" s="14"/>
      <c r="BH962" s="14"/>
      <c r="BI962" s="14"/>
      <c r="BJ962" s="345"/>
      <c r="BK962" s="345"/>
      <c r="BL962" s="345"/>
      <c r="BM962" s="14"/>
      <c r="BN962" s="14"/>
      <c r="BO962" s="14"/>
    </row>
    <row r="963" spans="1:67" ht="20.100000000000001" customHeight="1">
      <c r="A963" s="14"/>
      <c r="B963" s="10"/>
      <c r="C963" s="14"/>
      <c r="D963" s="10"/>
      <c r="E963" s="10"/>
      <c r="F963" s="10"/>
      <c r="G963" s="15"/>
      <c r="H963" s="3"/>
      <c r="I963" s="3"/>
      <c r="J963" s="15"/>
      <c r="K963" s="15"/>
      <c r="L963" s="3"/>
      <c r="M963" s="15"/>
      <c r="N963" s="15"/>
      <c r="O963" s="15"/>
      <c r="P963" s="3"/>
      <c r="Q963" s="3"/>
      <c r="R963" s="16"/>
      <c r="S963" s="16"/>
      <c r="T963" s="16"/>
      <c r="U963" s="16"/>
      <c r="V963" s="10"/>
      <c r="W963" s="10"/>
      <c r="X963" s="14"/>
      <c r="Y963" s="14"/>
      <c r="Z963" s="14"/>
      <c r="AA963" s="14"/>
      <c r="AB963" s="14"/>
      <c r="AC963" s="14"/>
      <c r="AD963" s="14"/>
      <c r="AE963" s="14"/>
      <c r="AF963" s="14"/>
      <c r="AG963" s="14"/>
      <c r="AH963" s="14"/>
      <c r="AI963" s="14"/>
      <c r="AJ963" s="14"/>
      <c r="AK963" s="14"/>
      <c r="AL963" s="14"/>
      <c r="AM963" s="14"/>
      <c r="AN963" s="163"/>
      <c r="AO963" s="163"/>
      <c r="AP963" s="14"/>
      <c r="AQ963" s="14"/>
      <c r="AR963" s="14"/>
      <c r="AS963" s="163"/>
      <c r="AT963" s="163"/>
      <c r="AU963" s="164"/>
      <c r="AV963" s="14"/>
      <c r="AW963" s="14"/>
      <c r="AX963" s="14"/>
      <c r="AY963" s="14"/>
      <c r="AZ963" s="14"/>
      <c r="BA963" s="14"/>
      <c r="BB963" s="14"/>
      <c r="BC963" s="14"/>
      <c r="BD963" s="14"/>
      <c r="BE963" s="14"/>
      <c r="BF963" s="14"/>
      <c r="BG963" s="14"/>
      <c r="BH963" s="14"/>
      <c r="BI963" s="14"/>
      <c r="BJ963" s="345"/>
      <c r="BK963" s="345"/>
      <c r="BL963" s="345"/>
      <c r="BM963" s="14"/>
      <c r="BN963" s="14"/>
      <c r="BO963" s="14"/>
    </row>
    <row r="964" spans="1:67" ht="20.100000000000001" customHeight="1">
      <c r="A964" s="14"/>
      <c r="B964" s="10"/>
      <c r="C964" s="14"/>
      <c r="D964" s="10"/>
      <c r="E964" s="10"/>
      <c r="F964" s="10"/>
      <c r="G964" s="15"/>
      <c r="H964" s="3"/>
      <c r="I964" s="3"/>
      <c r="J964" s="15"/>
      <c r="K964" s="15"/>
      <c r="L964" s="3"/>
      <c r="M964" s="15"/>
      <c r="N964" s="15"/>
      <c r="O964" s="15"/>
      <c r="P964" s="3"/>
      <c r="Q964" s="3"/>
      <c r="R964" s="16"/>
      <c r="S964" s="16"/>
      <c r="T964" s="16"/>
      <c r="U964" s="16"/>
      <c r="V964" s="10"/>
      <c r="W964" s="10"/>
      <c r="X964" s="14"/>
      <c r="Y964" s="14"/>
      <c r="Z964" s="14"/>
      <c r="AA964" s="14"/>
      <c r="AB964" s="14"/>
      <c r="AC964" s="14"/>
      <c r="AD964" s="14"/>
      <c r="AE964" s="14"/>
      <c r="AF964" s="14"/>
      <c r="AG964" s="14"/>
      <c r="AH964" s="14"/>
      <c r="AI964" s="14"/>
      <c r="AJ964" s="14"/>
      <c r="AK964" s="14"/>
      <c r="AL964" s="14"/>
      <c r="AM964" s="14"/>
      <c r="AN964" s="163"/>
      <c r="AO964" s="163"/>
      <c r="AP964" s="14"/>
      <c r="AQ964" s="14"/>
      <c r="AR964" s="14"/>
      <c r="AS964" s="163"/>
      <c r="AT964" s="163"/>
      <c r="AU964" s="164"/>
      <c r="AV964" s="14"/>
      <c r="AW964" s="14"/>
      <c r="AX964" s="14"/>
      <c r="AY964" s="14"/>
      <c r="AZ964" s="14"/>
      <c r="BA964" s="14"/>
      <c r="BB964" s="14"/>
      <c r="BC964" s="14"/>
      <c r="BD964" s="14"/>
      <c r="BE964" s="14"/>
      <c r="BF964" s="14"/>
      <c r="BG964" s="14"/>
      <c r="BH964" s="14"/>
      <c r="BI964" s="14"/>
      <c r="BJ964" s="345"/>
      <c r="BK964" s="345"/>
      <c r="BL964" s="345"/>
      <c r="BM964" s="14"/>
      <c r="BN964" s="14"/>
      <c r="BO964" s="14"/>
    </row>
    <row r="965" spans="1:67" ht="20.100000000000001" customHeight="1">
      <c r="A965" s="14"/>
      <c r="B965" s="10"/>
      <c r="C965" s="14"/>
      <c r="D965" s="10"/>
      <c r="E965" s="10"/>
      <c r="F965" s="10"/>
      <c r="G965" s="15"/>
      <c r="H965" s="3"/>
      <c r="I965" s="3"/>
      <c r="J965" s="15"/>
      <c r="K965" s="15"/>
      <c r="L965" s="3"/>
      <c r="M965" s="15"/>
      <c r="N965" s="15"/>
      <c r="O965" s="15"/>
      <c r="P965" s="3"/>
      <c r="Q965" s="3"/>
      <c r="R965" s="16"/>
      <c r="S965" s="16"/>
      <c r="T965" s="16"/>
      <c r="U965" s="16"/>
      <c r="V965" s="10"/>
      <c r="W965" s="10"/>
      <c r="X965" s="14"/>
      <c r="Y965" s="14"/>
      <c r="Z965" s="14"/>
      <c r="AA965" s="14"/>
      <c r="AB965" s="14"/>
      <c r="AC965" s="14"/>
      <c r="AD965" s="14"/>
      <c r="AE965" s="14"/>
      <c r="AF965" s="14"/>
      <c r="AG965" s="14"/>
      <c r="AH965" s="14"/>
      <c r="AI965" s="14"/>
      <c r="AJ965" s="14"/>
      <c r="AK965" s="14"/>
      <c r="AL965" s="14"/>
      <c r="AM965" s="14"/>
      <c r="AN965" s="163"/>
      <c r="AO965" s="163"/>
      <c r="AP965" s="14"/>
      <c r="AQ965" s="14"/>
      <c r="AR965" s="14"/>
      <c r="AS965" s="163"/>
      <c r="AT965" s="163"/>
      <c r="AU965" s="164"/>
      <c r="AV965" s="14"/>
      <c r="AW965" s="14"/>
      <c r="AX965" s="14"/>
      <c r="AY965" s="14"/>
      <c r="AZ965" s="14"/>
      <c r="BA965" s="14"/>
      <c r="BB965" s="14"/>
      <c r="BC965" s="14"/>
      <c r="BD965" s="14"/>
      <c r="BE965" s="14"/>
      <c r="BF965" s="14"/>
      <c r="BG965" s="14"/>
      <c r="BH965" s="14"/>
      <c r="BI965" s="14"/>
      <c r="BJ965" s="345"/>
      <c r="BK965" s="345"/>
      <c r="BL965" s="345"/>
      <c r="BM965" s="14"/>
      <c r="BN965" s="14"/>
      <c r="BO965" s="14"/>
    </row>
    <row r="966" spans="1:67" ht="20.100000000000001" customHeight="1">
      <c r="A966" s="14"/>
      <c r="B966" s="10"/>
      <c r="C966" s="14"/>
      <c r="D966" s="10"/>
      <c r="E966" s="10"/>
      <c r="F966" s="10"/>
      <c r="G966" s="15"/>
      <c r="H966" s="3"/>
      <c r="I966" s="3"/>
      <c r="J966" s="15"/>
      <c r="K966" s="15"/>
      <c r="L966" s="3"/>
      <c r="M966" s="15"/>
      <c r="N966" s="15"/>
      <c r="O966" s="15"/>
      <c r="P966" s="3"/>
      <c r="Q966" s="3"/>
      <c r="R966" s="16"/>
      <c r="S966" s="16"/>
      <c r="T966" s="16"/>
      <c r="U966" s="16"/>
      <c r="V966" s="10"/>
      <c r="W966" s="10"/>
      <c r="X966" s="14"/>
      <c r="Y966" s="14"/>
      <c r="Z966" s="14"/>
      <c r="AA966" s="14"/>
      <c r="AB966" s="14"/>
      <c r="AC966" s="14"/>
      <c r="AD966" s="14"/>
      <c r="AE966" s="14"/>
      <c r="AF966" s="14"/>
      <c r="AG966" s="14"/>
      <c r="AH966" s="14"/>
      <c r="AI966" s="14"/>
      <c r="AJ966" s="14"/>
      <c r="AK966" s="14"/>
      <c r="AL966" s="14"/>
      <c r="AM966" s="14"/>
      <c r="AN966" s="163"/>
      <c r="AO966" s="163"/>
      <c r="AP966" s="14"/>
      <c r="AQ966" s="14"/>
      <c r="AR966" s="14"/>
      <c r="AS966" s="163"/>
      <c r="AT966" s="163"/>
      <c r="AU966" s="164"/>
      <c r="AV966" s="14"/>
      <c r="AW966" s="14"/>
      <c r="AX966" s="14"/>
      <c r="AY966" s="14"/>
      <c r="AZ966" s="14"/>
      <c r="BA966" s="14"/>
      <c r="BB966" s="14"/>
      <c r="BC966" s="14"/>
      <c r="BD966" s="14"/>
      <c r="BE966" s="14"/>
      <c r="BF966" s="14"/>
      <c r="BG966" s="14"/>
      <c r="BH966" s="14"/>
      <c r="BI966" s="14"/>
      <c r="BJ966" s="345"/>
      <c r="BK966" s="345"/>
      <c r="BL966" s="345"/>
      <c r="BM966" s="14"/>
      <c r="BN966" s="14"/>
      <c r="BO966" s="14"/>
    </row>
    <row r="967" spans="1:67" ht="20.100000000000001" customHeight="1">
      <c r="A967" s="14"/>
      <c r="B967" s="10"/>
      <c r="C967" s="14"/>
      <c r="D967" s="10"/>
      <c r="E967" s="10"/>
      <c r="F967" s="10"/>
      <c r="G967" s="15"/>
      <c r="H967" s="3"/>
      <c r="I967" s="3"/>
      <c r="J967" s="15"/>
      <c r="K967" s="15"/>
      <c r="L967" s="3"/>
      <c r="M967" s="15"/>
      <c r="N967" s="15"/>
      <c r="O967" s="15"/>
      <c r="P967" s="3"/>
      <c r="Q967" s="3"/>
      <c r="R967" s="16"/>
      <c r="S967" s="16"/>
      <c r="T967" s="16"/>
      <c r="U967" s="16"/>
      <c r="V967" s="10"/>
      <c r="W967" s="10"/>
      <c r="X967" s="14"/>
      <c r="Y967" s="14"/>
      <c r="Z967" s="14"/>
      <c r="AA967" s="14"/>
      <c r="AB967" s="14"/>
      <c r="AC967" s="14"/>
      <c r="AD967" s="14"/>
      <c r="AE967" s="14"/>
      <c r="AF967" s="14"/>
      <c r="AG967" s="14"/>
      <c r="AH967" s="14"/>
      <c r="AI967" s="14"/>
      <c r="AJ967" s="14"/>
      <c r="AK967" s="14"/>
      <c r="AL967" s="14"/>
      <c r="AM967" s="14"/>
      <c r="AN967" s="163"/>
      <c r="AO967" s="163"/>
      <c r="AP967" s="14"/>
      <c r="AQ967" s="14"/>
      <c r="AR967" s="14"/>
      <c r="AS967" s="163"/>
      <c r="AT967" s="163"/>
      <c r="AU967" s="164"/>
      <c r="AV967" s="14"/>
      <c r="AW967" s="14"/>
      <c r="AX967" s="14"/>
      <c r="AY967" s="14"/>
      <c r="AZ967" s="14"/>
      <c r="BA967" s="14"/>
      <c r="BB967" s="14"/>
      <c r="BC967" s="14"/>
      <c r="BD967" s="14"/>
      <c r="BE967" s="14"/>
      <c r="BF967" s="14"/>
      <c r="BG967" s="14"/>
      <c r="BH967" s="14"/>
      <c r="BI967" s="14"/>
      <c r="BJ967" s="345"/>
      <c r="BK967" s="345"/>
      <c r="BL967" s="345"/>
      <c r="BM967" s="14"/>
      <c r="BN967" s="14"/>
      <c r="BO967" s="14"/>
    </row>
    <row r="968" spans="1:67" ht="20.100000000000001" customHeight="1">
      <c r="A968" s="14"/>
      <c r="B968" s="10"/>
      <c r="C968" s="14"/>
      <c r="D968" s="10"/>
      <c r="E968" s="10"/>
      <c r="F968" s="10"/>
      <c r="G968" s="15"/>
      <c r="H968" s="3"/>
      <c r="I968" s="3"/>
      <c r="J968" s="15"/>
      <c r="K968" s="15"/>
      <c r="L968" s="3"/>
      <c r="M968" s="15"/>
      <c r="N968" s="15"/>
      <c r="O968" s="15"/>
      <c r="P968" s="3"/>
      <c r="Q968" s="3"/>
      <c r="R968" s="16"/>
      <c r="S968" s="16"/>
      <c r="T968" s="16"/>
      <c r="U968" s="16"/>
      <c r="V968" s="10"/>
      <c r="W968" s="10"/>
      <c r="X968" s="14"/>
      <c r="Y968" s="14"/>
      <c r="Z968" s="14"/>
      <c r="AA968" s="14"/>
      <c r="AB968" s="14"/>
      <c r="AC968" s="14"/>
      <c r="AD968" s="14"/>
      <c r="AE968" s="14"/>
      <c r="AF968" s="14"/>
      <c r="AG968" s="14"/>
      <c r="AH968" s="14"/>
      <c r="AI968" s="14"/>
      <c r="AJ968" s="14"/>
      <c r="AK968" s="14"/>
      <c r="AL968" s="14"/>
      <c r="AM968" s="14"/>
      <c r="AN968" s="163"/>
      <c r="AO968" s="163"/>
      <c r="AP968" s="14"/>
      <c r="AQ968" s="14"/>
      <c r="AR968" s="14"/>
      <c r="AS968" s="163"/>
      <c r="AT968" s="163"/>
      <c r="AU968" s="164"/>
      <c r="AV968" s="14"/>
      <c r="AW968" s="14"/>
      <c r="AX968" s="14"/>
      <c r="AY968" s="14"/>
      <c r="AZ968" s="14"/>
      <c r="BA968" s="14"/>
      <c r="BB968" s="14"/>
      <c r="BC968" s="14"/>
      <c r="BD968" s="14"/>
      <c r="BE968" s="14"/>
      <c r="BF968" s="14"/>
      <c r="BG968" s="14"/>
      <c r="BH968" s="14"/>
      <c r="BI968" s="14"/>
      <c r="BJ968" s="345"/>
      <c r="BK968" s="345"/>
      <c r="BL968" s="345"/>
      <c r="BM968" s="14"/>
      <c r="BN968" s="14"/>
      <c r="BO968" s="14"/>
    </row>
    <row r="969" spans="1:67" ht="20.100000000000001" customHeight="1">
      <c r="A969" s="14"/>
      <c r="B969" s="10"/>
      <c r="C969" s="14"/>
      <c r="D969" s="10"/>
      <c r="E969" s="10"/>
      <c r="F969" s="10"/>
      <c r="G969" s="15"/>
      <c r="H969" s="3"/>
      <c r="I969" s="3"/>
      <c r="J969" s="15"/>
      <c r="K969" s="15"/>
      <c r="L969" s="3"/>
      <c r="M969" s="15"/>
      <c r="N969" s="15"/>
      <c r="O969" s="15"/>
      <c r="P969" s="3"/>
      <c r="Q969" s="3"/>
      <c r="R969" s="16"/>
      <c r="S969" s="16"/>
      <c r="T969" s="16"/>
      <c r="U969" s="16"/>
      <c r="V969" s="10"/>
      <c r="W969" s="10"/>
      <c r="X969" s="14"/>
      <c r="Y969" s="14"/>
      <c r="Z969" s="14"/>
      <c r="AA969" s="14"/>
      <c r="AB969" s="14"/>
      <c r="AC969" s="14"/>
      <c r="AD969" s="14"/>
      <c r="AE969" s="14"/>
      <c r="AF969" s="14"/>
      <c r="AG969" s="14"/>
      <c r="AH969" s="14"/>
      <c r="AI969" s="14"/>
      <c r="AJ969" s="14"/>
      <c r="AK969" s="14"/>
      <c r="AL969" s="14"/>
      <c r="AM969" s="14"/>
      <c r="AN969" s="163"/>
      <c r="AO969" s="163"/>
      <c r="AP969" s="14"/>
      <c r="AQ969" s="14"/>
      <c r="AR969" s="14"/>
      <c r="AS969" s="163"/>
      <c r="AT969" s="163"/>
      <c r="AU969" s="164"/>
      <c r="AV969" s="14"/>
      <c r="AW969" s="14"/>
      <c r="AX969" s="14"/>
      <c r="AY969" s="14"/>
      <c r="AZ969" s="14"/>
      <c r="BA969" s="14"/>
      <c r="BB969" s="14"/>
      <c r="BC969" s="14"/>
      <c r="BD969" s="14"/>
      <c r="BE969" s="14"/>
      <c r="BF969" s="14"/>
      <c r="BG969" s="14"/>
      <c r="BH969" s="14"/>
      <c r="BI969" s="14"/>
      <c r="BJ969" s="345"/>
      <c r="BK969" s="345"/>
      <c r="BL969" s="345"/>
      <c r="BM969" s="14"/>
      <c r="BN969" s="14"/>
      <c r="BO969" s="14"/>
    </row>
    <row r="970" spans="1:67" ht="20.100000000000001" customHeight="1">
      <c r="A970" s="14"/>
      <c r="B970" s="10"/>
      <c r="C970" s="14"/>
      <c r="D970" s="10"/>
      <c r="E970" s="10"/>
      <c r="F970" s="10"/>
      <c r="G970" s="15"/>
      <c r="H970" s="3"/>
      <c r="I970" s="3"/>
      <c r="J970" s="15"/>
      <c r="K970" s="15"/>
      <c r="L970" s="3"/>
      <c r="M970" s="15"/>
      <c r="N970" s="15"/>
      <c r="O970" s="15"/>
      <c r="P970" s="3"/>
      <c r="Q970" s="3"/>
      <c r="R970" s="16"/>
      <c r="S970" s="16"/>
      <c r="T970" s="16"/>
      <c r="U970" s="16"/>
      <c r="V970" s="10"/>
      <c r="W970" s="10"/>
      <c r="X970" s="14"/>
      <c r="Y970" s="14"/>
      <c r="Z970" s="14"/>
      <c r="AA970" s="14"/>
      <c r="AB970" s="14"/>
      <c r="AC970" s="14"/>
      <c r="AD970" s="14"/>
      <c r="AE970" s="14"/>
      <c r="AF970" s="14"/>
      <c r="AG970" s="14"/>
      <c r="AH970" s="14"/>
      <c r="AI970" s="14"/>
      <c r="AJ970" s="14"/>
      <c r="AK970" s="14"/>
      <c r="AL970" s="14"/>
      <c r="AM970" s="14"/>
      <c r="AN970" s="163"/>
      <c r="AO970" s="163"/>
      <c r="AP970" s="14"/>
      <c r="AQ970" s="14"/>
      <c r="AR970" s="14"/>
      <c r="AS970" s="163"/>
      <c r="AT970" s="163"/>
      <c r="AU970" s="164"/>
      <c r="AV970" s="14"/>
      <c r="AW970" s="14"/>
      <c r="AX970" s="14"/>
      <c r="AY970" s="14"/>
      <c r="AZ970" s="14"/>
      <c r="BA970" s="14"/>
      <c r="BB970" s="14"/>
      <c r="BC970" s="14"/>
      <c r="BD970" s="14"/>
      <c r="BE970" s="14"/>
      <c r="BF970" s="14"/>
      <c r="BG970" s="14"/>
      <c r="BH970" s="14"/>
      <c r="BI970" s="14"/>
      <c r="BJ970" s="345"/>
      <c r="BK970" s="345"/>
      <c r="BL970" s="345"/>
      <c r="BM970" s="14"/>
      <c r="BN970" s="14"/>
      <c r="BO970" s="14"/>
    </row>
    <row r="971" spans="1:67" ht="20.100000000000001" customHeight="1">
      <c r="A971" s="14"/>
      <c r="B971" s="10"/>
      <c r="C971" s="14"/>
      <c r="D971" s="10"/>
      <c r="E971" s="10"/>
      <c r="F971" s="10"/>
      <c r="G971" s="15"/>
      <c r="H971" s="3"/>
      <c r="I971" s="3"/>
      <c r="J971" s="15"/>
      <c r="K971" s="15"/>
      <c r="L971" s="3"/>
      <c r="M971" s="15"/>
      <c r="N971" s="15"/>
      <c r="O971" s="15"/>
      <c r="P971" s="3"/>
      <c r="Q971" s="3"/>
      <c r="R971" s="16"/>
      <c r="S971" s="16"/>
      <c r="T971" s="16"/>
      <c r="U971" s="16"/>
      <c r="V971" s="10"/>
      <c r="W971" s="10"/>
      <c r="X971" s="14"/>
      <c r="Y971" s="14"/>
      <c r="Z971" s="14"/>
      <c r="AA971" s="14"/>
      <c r="AB971" s="14"/>
      <c r="AC971" s="14"/>
      <c r="AD971" s="14"/>
      <c r="AE971" s="14"/>
      <c r="AF971" s="14"/>
      <c r="AG971" s="14"/>
      <c r="AH971" s="14"/>
      <c r="AI971" s="14"/>
      <c r="AJ971" s="14"/>
      <c r="AK971" s="14"/>
      <c r="AL971" s="14"/>
      <c r="AM971" s="14"/>
      <c r="AN971" s="163"/>
      <c r="AO971" s="163"/>
      <c r="AP971" s="14"/>
      <c r="AQ971" s="14"/>
      <c r="AR971" s="14"/>
      <c r="AS971" s="163"/>
      <c r="AT971" s="163"/>
      <c r="AU971" s="164"/>
      <c r="AV971" s="14"/>
      <c r="AW971" s="14"/>
      <c r="AX971" s="14"/>
      <c r="AY971" s="14"/>
      <c r="AZ971" s="14"/>
      <c r="BA971" s="14"/>
      <c r="BB971" s="14"/>
      <c r="BC971" s="14"/>
      <c r="BD971" s="14"/>
      <c r="BE971" s="14"/>
      <c r="BF971" s="14"/>
      <c r="BG971" s="14"/>
      <c r="BH971" s="14"/>
      <c r="BI971" s="14"/>
      <c r="BJ971" s="345"/>
      <c r="BK971" s="345"/>
      <c r="BL971" s="345"/>
      <c r="BM971" s="14"/>
      <c r="BN971" s="14"/>
      <c r="BO971" s="14"/>
    </row>
    <row r="972" spans="1:67" ht="20.100000000000001" customHeight="1">
      <c r="A972" s="14"/>
      <c r="B972" s="10"/>
      <c r="C972" s="14"/>
      <c r="D972" s="10"/>
      <c r="E972" s="10"/>
      <c r="F972" s="10"/>
      <c r="G972" s="15"/>
      <c r="H972" s="3"/>
      <c r="I972" s="3"/>
      <c r="J972" s="15"/>
      <c r="K972" s="15"/>
      <c r="L972" s="3"/>
      <c r="M972" s="15"/>
      <c r="N972" s="15"/>
      <c r="O972" s="15"/>
      <c r="P972" s="3"/>
      <c r="Q972" s="3"/>
      <c r="R972" s="16"/>
      <c r="S972" s="16"/>
      <c r="T972" s="16"/>
      <c r="U972" s="16"/>
      <c r="V972" s="10"/>
      <c r="W972" s="10"/>
      <c r="X972" s="14"/>
      <c r="Y972" s="14"/>
      <c r="Z972" s="14"/>
      <c r="AA972" s="14"/>
      <c r="AB972" s="14"/>
      <c r="AC972" s="14"/>
      <c r="AD972" s="14"/>
      <c r="AE972" s="14"/>
      <c r="AF972" s="14"/>
      <c r="AG972" s="14"/>
      <c r="AH972" s="14"/>
      <c r="AI972" s="14"/>
      <c r="AJ972" s="14"/>
      <c r="AK972" s="14"/>
      <c r="AL972" s="14"/>
      <c r="AM972" s="14"/>
      <c r="AN972" s="163"/>
      <c r="AO972" s="163"/>
      <c r="AP972" s="14"/>
      <c r="AQ972" s="14"/>
      <c r="AR972" s="14"/>
      <c r="AS972" s="163"/>
      <c r="AT972" s="163"/>
      <c r="AU972" s="164"/>
      <c r="AV972" s="14"/>
      <c r="AW972" s="14"/>
      <c r="AX972" s="14"/>
      <c r="AY972" s="14"/>
      <c r="AZ972" s="14"/>
      <c r="BA972" s="14"/>
      <c r="BB972" s="14"/>
      <c r="BC972" s="14"/>
      <c r="BD972" s="14"/>
      <c r="BE972" s="14"/>
      <c r="BF972" s="14"/>
      <c r="BG972" s="14"/>
      <c r="BH972" s="14"/>
      <c r="BI972" s="14"/>
      <c r="BJ972" s="345"/>
      <c r="BK972" s="345"/>
      <c r="BL972" s="345"/>
      <c r="BM972" s="14"/>
      <c r="BN972" s="14"/>
      <c r="BO972" s="14"/>
    </row>
    <row r="973" spans="1:67" ht="20.100000000000001" customHeight="1">
      <c r="A973" s="14"/>
      <c r="B973" s="10"/>
      <c r="C973" s="14"/>
      <c r="D973" s="10"/>
      <c r="E973" s="10"/>
      <c r="F973" s="10"/>
      <c r="G973" s="15"/>
      <c r="H973" s="3"/>
      <c r="I973" s="3"/>
      <c r="J973" s="15"/>
      <c r="K973" s="15"/>
      <c r="L973" s="3"/>
      <c r="M973" s="15"/>
      <c r="N973" s="15"/>
      <c r="O973" s="15"/>
      <c r="P973" s="3"/>
      <c r="Q973" s="3"/>
      <c r="R973" s="16"/>
      <c r="S973" s="16"/>
      <c r="T973" s="16"/>
      <c r="U973" s="16"/>
      <c r="V973" s="10"/>
      <c r="W973" s="10"/>
      <c r="X973" s="14"/>
      <c r="Y973" s="14"/>
      <c r="Z973" s="14"/>
      <c r="AA973" s="14"/>
      <c r="AB973" s="14"/>
      <c r="AC973" s="14"/>
      <c r="AD973" s="14"/>
      <c r="AE973" s="14"/>
      <c r="AF973" s="14"/>
      <c r="AG973" s="14"/>
      <c r="AH973" s="14"/>
      <c r="AI973" s="14"/>
      <c r="AJ973" s="14"/>
      <c r="AK973" s="14"/>
      <c r="AL973" s="14"/>
      <c r="AM973" s="14"/>
      <c r="AN973" s="163"/>
      <c r="AO973" s="163"/>
      <c r="AP973" s="14"/>
      <c r="AQ973" s="14"/>
      <c r="AR973" s="14"/>
      <c r="AS973" s="163"/>
      <c r="AT973" s="163"/>
      <c r="AU973" s="164"/>
      <c r="AV973" s="14"/>
      <c r="AW973" s="14"/>
      <c r="AX973" s="14"/>
      <c r="AY973" s="14"/>
      <c r="AZ973" s="14"/>
      <c r="BA973" s="14"/>
      <c r="BB973" s="14"/>
      <c r="BC973" s="14"/>
      <c r="BD973" s="14"/>
      <c r="BE973" s="14"/>
      <c r="BF973" s="14"/>
      <c r="BG973" s="14"/>
      <c r="BH973" s="14"/>
      <c r="BI973" s="14"/>
      <c r="BJ973" s="345"/>
      <c r="BK973" s="345"/>
      <c r="BL973" s="345"/>
      <c r="BM973" s="14"/>
      <c r="BN973" s="14"/>
      <c r="BO973" s="14"/>
    </row>
    <row r="974" spans="1:67" ht="20.100000000000001" customHeight="1">
      <c r="A974" s="14"/>
      <c r="B974" s="10"/>
      <c r="C974" s="14"/>
      <c r="D974" s="10"/>
      <c r="E974" s="10"/>
      <c r="F974" s="10"/>
      <c r="G974" s="15"/>
      <c r="H974" s="3"/>
      <c r="I974" s="3"/>
      <c r="J974" s="15"/>
      <c r="K974" s="15"/>
      <c r="L974" s="3"/>
      <c r="M974" s="15"/>
      <c r="N974" s="15"/>
      <c r="O974" s="15"/>
      <c r="P974" s="3"/>
      <c r="Q974" s="3"/>
      <c r="R974" s="16"/>
      <c r="S974" s="16"/>
      <c r="T974" s="16"/>
      <c r="U974" s="16"/>
      <c r="V974" s="10"/>
      <c r="W974" s="10"/>
      <c r="X974" s="14"/>
      <c r="Y974" s="14"/>
      <c r="Z974" s="14"/>
      <c r="AA974" s="14"/>
      <c r="AB974" s="14"/>
      <c r="AC974" s="14"/>
      <c r="AD974" s="14"/>
      <c r="AE974" s="14"/>
      <c r="AF974" s="14"/>
      <c r="AG974" s="14"/>
      <c r="AH974" s="14"/>
      <c r="AI974" s="14"/>
      <c r="AJ974" s="14"/>
      <c r="AK974" s="14"/>
      <c r="AL974" s="14"/>
      <c r="AM974" s="14"/>
      <c r="AN974" s="163"/>
      <c r="AO974" s="163"/>
      <c r="AP974" s="14"/>
      <c r="AQ974" s="14"/>
      <c r="AR974" s="14"/>
      <c r="AS974" s="163"/>
      <c r="AT974" s="163"/>
      <c r="AU974" s="164"/>
      <c r="AV974" s="14"/>
      <c r="AW974" s="14"/>
      <c r="AX974" s="14"/>
      <c r="AY974" s="14"/>
      <c r="AZ974" s="14"/>
      <c r="BA974" s="14"/>
      <c r="BB974" s="14"/>
      <c r="BC974" s="14"/>
      <c r="BD974" s="14"/>
      <c r="BE974" s="14"/>
      <c r="BF974" s="14"/>
      <c r="BG974" s="14"/>
      <c r="BH974" s="14"/>
      <c r="BI974" s="14"/>
      <c r="BJ974" s="345"/>
      <c r="BK974" s="345"/>
      <c r="BL974" s="345"/>
      <c r="BM974" s="14"/>
      <c r="BN974" s="14"/>
      <c r="BO974" s="14"/>
    </row>
    <row r="975" spans="1:67" ht="20.100000000000001" customHeight="1">
      <c r="A975" s="14"/>
      <c r="B975" s="10"/>
      <c r="C975" s="14"/>
      <c r="D975" s="10"/>
      <c r="E975" s="10"/>
      <c r="F975" s="10"/>
      <c r="G975" s="15"/>
      <c r="H975" s="3"/>
      <c r="I975" s="3"/>
      <c r="J975" s="15"/>
      <c r="K975" s="15"/>
      <c r="L975" s="3"/>
      <c r="M975" s="15"/>
      <c r="N975" s="15"/>
      <c r="O975" s="15"/>
      <c r="P975" s="3"/>
      <c r="Q975" s="3"/>
      <c r="R975" s="16"/>
      <c r="S975" s="16"/>
      <c r="T975" s="16"/>
      <c r="U975" s="16"/>
      <c r="V975" s="10"/>
      <c r="W975" s="10"/>
      <c r="X975" s="14"/>
      <c r="Y975" s="14"/>
      <c r="Z975" s="14"/>
      <c r="AA975" s="14"/>
      <c r="AB975" s="14"/>
      <c r="AC975" s="14"/>
      <c r="AD975" s="14"/>
      <c r="AE975" s="14"/>
      <c r="AF975" s="14"/>
      <c r="AG975" s="14"/>
      <c r="AH975" s="14"/>
      <c r="AI975" s="14"/>
      <c r="AJ975" s="14"/>
      <c r="AK975" s="14"/>
      <c r="AL975" s="14"/>
      <c r="AM975" s="14"/>
      <c r="AN975" s="163"/>
      <c r="AO975" s="163"/>
      <c r="AP975" s="14"/>
      <c r="AQ975" s="14"/>
      <c r="AR975" s="14"/>
      <c r="AS975" s="163"/>
      <c r="AT975" s="163"/>
      <c r="AU975" s="164"/>
      <c r="AV975" s="14"/>
      <c r="AW975" s="14"/>
      <c r="AX975" s="14"/>
      <c r="AY975" s="14"/>
      <c r="AZ975" s="14"/>
      <c r="BA975" s="14"/>
      <c r="BB975" s="14"/>
      <c r="BC975" s="14"/>
      <c r="BD975" s="14"/>
      <c r="BE975" s="14"/>
      <c r="BF975" s="14"/>
      <c r="BG975" s="14"/>
      <c r="BH975" s="14"/>
      <c r="BI975" s="14"/>
      <c r="BJ975" s="345"/>
      <c r="BK975" s="345"/>
      <c r="BL975" s="345"/>
      <c r="BM975" s="14"/>
      <c r="BN975" s="14"/>
      <c r="BO975" s="14"/>
    </row>
    <row r="976" spans="1:67" ht="20.100000000000001" customHeight="1">
      <c r="A976" s="14"/>
      <c r="B976" s="10"/>
      <c r="C976" s="14"/>
      <c r="D976" s="10"/>
      <c r="E976" s="10"/>
      <c r="F976" s="10"/>
      <c r="G976" s="15"/>
      <c r="H976" s="3"/>
      <c r="I976" s="3"/>
      <c r="J976" s="15"/>
      <c r="K976" s="15"/>
      <c r="L976" s="3"/>
      <c r="M976" s="15"/>
      <c r="N976" s="15"/>
      <c r="O976" s="15"/>
      <c r="P976" s="3"/>
      <c r="Q976" s="3"/>
      <c r="R976" s="16"/>
      <c r="S976" s="16"/>
      <c r="T976" s="16"/>
      <c r="U976" s="16"/>
      <c r="V976" s="10"/>
      <c r="W976" s="10"/>
      <c r="X976" s="14"/>
      <c r="Y976" s="14"/>
      <c r="Z976" s="14"/>
      <c r="AA976" s="14"/>
      <c r="AB976" s="14"/>
      <c r="AC976" s="14"/>
      <c r="AD976" s="14"/>
      <c r="AE976" s="14"/>
      <c r="AF976" s="14"/>
      <c r="AG976" s="14"/>
      <c r="AH976" s="14"/>
      <c r="AI976" s="14"/>
      <c r="AJ976" s="14"/>
      <c r="AK976" s="14"/>
      <c r="AL976" s="14"/>
      <c r="AM976" s="14"/>
      <c r="AN976" s="163"/>
      <c r="AO976" s="163"/>
      <c r="AP976" s="14"/>
      <c r="AQ976" s="14"/>
      <c r="AR976" s="14"/>
      <c r="AS976" s="163"/>
      <c r="AT976" s="163"/>
      <c r="AU976" s="164"/>
      <c r="AV976" s="14"/>
      <c r="AW976" s="14"/>
      <c r="AX976" s="14"/>
      <c r="AY976" s="14"/>
      <c r="AZ976" s="14"/>
      <c r="BA976" s="14"/>
      <c r="BB976" s="14"/>
      <c r="BC976" s="14"/>
      <c r="BD976" s="14"/>
      <c r="BE976" s="14"/>
      <c r="BF976" s="14"/>
      <c r="BG976" s="14"/>
      <c r="BH976" s="14"/>
      <c r="BI976" s="14"/>
      <c r="BJ976" s="345"/>
      <c r="BK976" s="345"/>
      <c r="BL976" s="345"/>
      <c r="BM976" s="14"/>
      <c r="BN976" s="14"/>
      <c r="BO976" s="14"/>
    </row>
    <row r="977" spans="1:67" ht="20.100000000000001" customHeight="1">
      <c r="A977" s="14"/>
      <c r="B977" s="10"/>
      <c r="C977" s="14"/>
      <c r="D977" s="10"/>
      <c r="E977" s="10"/>
      <c r="F977" s="10"/>
      <c r="G977" s="15"/>
      <c r="H977" s="3"/>
      <c r="I977" s="3"/>
      <c r="J977" s="15"/>
      <c r="K977" s="15"/>
      <c r="L977" s="3"/>
      <c r="M977" s="15"/>
      <c r="N977" s="15"/>
      <c r="O977" s="15"/>
      <c r="P977" s="3"/>
      <c r="Q977" s="3"/>
      <c r="R977" s="16"/>
      <c r="S977" s="16"/>
      <c r="T977" s="16"/>
      <c r="U977" s="16"/>
      <c r="V977" s="10"/>
      <c r="W977" s="10"/>
      <c r="X977" s="14"/>
      <c r="Y977" s="14"/>
      <c r="Z977" s="14"/>
      <c r="AA977" s="14"/>
      <c r="AB977" s="14"/>
      <c r="AC977" s="14"/>
      <c r="AD977" s="14"/>
      <c r="AE977" s="14"/>
      <c r="AF977" s="14"/>
      <c r="AG977" s="14"/>
      <c r="AH977" s="14"/>
      <c r="AI977" s="14"/>
      <c r="AJ977" s="14"/>
      <c r="AK977" s="14"/>
      <c r="AL977" s="14"/>
      <c r="AM977" s="14"/>
      <c r="AN977" s="163"/>
      <c r="AO977" s="163"/>
      <c r="AP977" s="14"/>
      <c r="AQ977" s="14"/>
      <c r="AR977" s="14"/>
      <c r="AS977" s="163"/>
      <c r="AT977" s="163"/>
      <c r="AU977" s="164"/>
      <c r="AV977" s="14"/>
      <c r="AW977" s="14"/>
      <c r="AX977" s="14"/>
      <c r="AY977" s="14"/>
      <c r="AZ977" s="14"/>
      <c r="BA977" s="14"/>
      <c r="BB977" s="14"/>
      <c r="BC977" s="14"/>
      <c r="BD977" s="14"/>
      <c r="BE977" s="14"/>
      <c r="BF977" s="14"/>
      <c r="BG977" s="14"/>
      <c r="BH977" s="14"/>
      <c r="BI977" s="14"/>
      <c r="BJ977" s="345"/>
      <c r="BK977" s="345"/>
      <c r="BL977" s="345"/>
      <c r="BM977" s="14"/>
      <c r="BN977" s="14"/>
      <c r="BO977" s="14"/>
    </row>
    <row r="978" spans="1:67" ht="20.100000000000001" customHeight="1">
      <c r="A978" s="14"/>
      <c r="B978" s="10"/>
      <c r="C978" s="14"/>
      <c r="D978" s="10"/>
      <c r="E978" s="10"/>
      <c r="F978" s="10"/>
      <c r="G978" s="15"/>
      <c r="H978" s="3"/>
      <c r="I978" s="3"/>
      <c r="J978" s="15"/>
      <c r="K978" s="15"/>
      <c r="L978" s="3"/>
      <c r="M978" s="15"/>
      <c r="N978" s="15"/>
      <c r="O978" s="15"/>
      <c r="P978" s="3"/>
      <c r="Q978" s="3"/>
      <c r="R978" s="16"/>
      <c r="S978" s="16"/>
      <c r="T978" s="16"/>
      <c r="U978" s="16"/>
      <c r="V978" s="10"/>
      <c r="W978" s="10"/>
      <c r="X978" s="14"/>
      <c r="Y978" s="14"/>
      <c r="Z978" s="14"/>
      <c r="AA978" s="14"/>
      <c r="AB978" s="14"/>
      <c r="AC978" s="14"/>
      <c r="AD978" s="14"/>
      <c r="AE978" s="14"/>
      <c r="AF978" s="14"/>
      <c r="AG978" s="14"/>
      <c r="AH978" s="14"/>
      <c r="AI978" s="14"/>
      <c r="AJ978" s="14"/>
      <c r="AK978" s="14"/>
      <c r="AL978" s="14"/>
      <c r="AM978" s="14"/>
      <c r="AN978" s="163"/>
      <c r="AO978" s="163"/>
      <c r="AP978" s="14"/>
      <c r="AQ978" s="14"/>
      <c r="AR978" s="14"/>
      <c r="AS978" s="163"/>
      <c r="AT978" s="163"/>
      <c r="AU978" s="164"/>
      <c r="AV978" s="14"/>
      <c r="AW978" s="14"/>
      <c r="AX978" s="14"/>
      <c r="AY978" s="14"/>
      <c r="AZ978" s="14"/>
      <c r="BA978" s="14"/>
      <c r="BB978" s="14"/>
      <c r="BC978" s="14"/>
      <c r="BD978" s="14"/>
      <c r="BE978" s="14"/>
      <c r="BF978" s="14"/>
      <c r="BG978" s="14"/>
      <c r="BH978" s="14"/>
      <c r="BI978" s="14"/>
      <c r="BJ978" s="345"/>
      <c r="BK978" s="345"/>
      <c r="BL978" s="345"/>
      <c r="BM978" s="14"/>
      <c r="BN978" s="14"/>
      <c r="BO978" s="14"/>
    </row>
    <row r="979" spans="1:67" ht="20.100000000000001" customHeight="1">
      <c r="A979" s="14"/>
      <c r="B979" s="10"/>
      <c r="C979" s="14"/>
      <c r="D979" s="10"/>
      <c r="E979" s="10"/>
      <c r="F979" s="10"/>
      <c r="G979" s="15"/>
      <c r="H979" s="3"/>
      <c r="I979" s="3"/>
      <c r="J979" s="15"/>
      <c r="K979" s="15"/>
      <c r="L979" s="3"/>
      <c r="M979" s="15"/>
      <c r="N979" s="15"/>
      <c r="O979" s="15"/>
      <c r="P979" s="3"/>
      <c r="Q979" s="3"/>
      <c r="R979" s="16"/>
      <c r="S979" s="16"/>
      <c r="T979" s="16"/>
      <c r="U979" s="16"/>
      <c r="V979" s="10"/>
      <c r="W979" s="10"/>
      <c r="X979" s="14"/>
      <c r="Y979" s="14"/>
      <c r="Z979" s="14"/>
      <c r="AA979" s="14"/>
      <c r="AB979" s="14"/>
      <c r="AC979" s="14"/>
      <c r="AD979" s="14"/>
      <c r="AE979" s="14"/>
      <c r="AF979" s="14"/>
      <c r="AG979" s="14"/>
      <c r="AH979" s="14"/>
      <c r="AI979" s="14"/>
      <c r="AJ979" s="14"/>
      <c r="AK979" s="14"/>
      <c r="AL979" s="14"/>
      <c r="AM979" s="14"/>
      <c r="AN979" s="163"/>
      <c r="AO979" s="163"/>
      <c r="AP979" s="14"/>
      <c r="AQ979" s="14"/>
      <c r="AR979" s="14"/>
      <c r="AS979" s="163"/>
      <c r="AT979" s="163"/>
      <c r="AU979" s="164"/>
      <c r="AV979" s="14"/>
      <c r="AW979" s="14"/>
      <c r="AX979" s="14"/>
      <c r="AY979" s="14"/>
      <c r="AZ979" s="14"/>
      <c r="BA979" s="14"/>
      <c r="BB979" s="14"/>
      <c r="BC979" s="14"/>
      <c r="BD979" s="14"/>
      <c r="BE979" s="14"/>
      <c r="BF979" s="14"/>
      <c r="BG979" s="14"/>
      <c r="BH979" s="14"/>
      <c r="BI979" s="14"/>
      <c r="BJ979" s="345"/>
      <c r="BK979" s="345"/>
      <c r="BL979" s="345"/>
      <c r="BM979" s="14"/>
      <c r="BN979" s="14"/>
      <c r="BO979" s="14"/>
    </row>
    <row r="980" spans="1:67" ht="20.100000000000001" customHeight="1">
      <c r="A980" s="14"/>
      <c r="B980" s="10"/>
      <c r="C980" s="14"/>
      <c r="D980" s="10"/>
      <c r="E980" s="10"/>
      <c r="F980" s="10"/>
      <c r="G980" s="15"/>
      <c r="H980" s="3"/>
      <c r="I980" s="3"/>
      <c r="J980" s="15"/>
      <c r="K980" s="15"/>
      <c r="L980" s="3"/>
      <c r="M980" s="15"/>
      <c r="N980" s="15"/>
      <c r="O980" s="15"/>
      <c r="P980" s="3"/>
      <c r="Q980" s="3"/>
      <c r="R980" s="16"/>
      <c r="S980" s="16"/>
      <c r="T980" s="16"/>
      <c r="U980" s="16"/>
      <c r="V980" s="10"/>
      <c r="W980" s="10"/>
      <c r="X980" s="14"/>
      <c r="Y980" s="14"/>
      <c r="Z980" s="14"/>
      <c r="AA980" s="14"/>
      <c r="AB980" s="14"/>
      <c r="AC980" s="14"/>
      <c r="AD980" s="14"/>
      <c r="AE980" s="14"/>
      <c r="AF980" s="14"/>
      <c r="AG980" s="14"/>
      <c r="AH980" s="14"/>
      <c r="AI980" s="14"/>
      <c r="AJ980" s="14"/>
      <c r="AK980" s="14"/>
      <c r="AL980" s="14"/>
      <c r="AM980" s="14"/>
      <c r="AN980" s="163"/>
      <c r="AO980" s="163"/>
      <c r="AP980" s="14"/>
      <c r="AQ980" s="14"/>
      <c r="AR980" s="14"/>
      <c r="AS980" s="163"/>
      <c r="AT980" s="163"/>
      <c r="AU980" s="164"/>
      <c r="AV980" s="14"/>
      <c r="AW980" s="14"/>
      <c r="AX980" s="14"/>
      <c r="AY980" s="14"/>
      <c r="AZ980" s="14"/>
      <c r="BA980" s="14"/>
      <c r="BB980" s="14"/>
      <c r="BC980" s="14"/>
      <c r="BD980" s="14"/>
      <c r="BE980" s="14"/>
      <c r="BF980" s="14"/>
      <c r="BG980" s="14"/>
      <c r="BH980" s="14"/>
      <c r="BI980" s="14"/>
      <c r="BJ980" s="345"/>
      <c r="BK980" s="345"/>
      <c r="BL980" s="345"/>
      <c r="BM980" s="14"/>
      <c r="BN980" s="14"/>
      <c r="BO980" s="14"/>
    </row>
    <row r="981" spans="1:67" ht="20.100000000000001" customHeight="1">
      <c r="A981" s="14"/>
      <c r="B981" s="10"/>
      <c r="C981" s="14"/>
      <c r="D981" s="10"/>
      <c r="E981" s="10"/>
      <c r="F981" s="10"/>
      <c r="G981" s="15"/>
      <c r="H981" s="3"/>
      <c r="I981" s="3"/>
      <c r="J981" s="15"/>
      <c r="K981" s="15"/>
      <c r="L981" s="3"/>
      <c r="M981" s="15"/>
      <c r="N981" s="15"/>
      <c r="O981" s="15"/>
      <c r="P981" s="3"/>
      <c r="Q981" s="3"/>
      <c r="R981" s="16"/>
      <c r="S981" s="16"/>
      <c r="T981" s="16"/>
      <c r="U981" s="16"/>
      <c r="V981" s="10"/>
      <c r="W981" s="10"/>
      <c r="X981" s="14"/>
      <c r="Y981" s="14"/>
      <c r="Z981" s="14"/>
      <c r="AA981" s="14"/>
      <c r="AB981" s="14"/>
      <c r="AC981" s="14"/>
      <c r="AD981" s="14"/>
      <c r="AE981" s="14"/>
      <c r="AF981" s="14"/>
      <c r="AG981" s="14"/>
      <c r="AH981" s="14"/>
      <c r="AI981" s="14"/>
      <c r="AJ981" s="14"/>
      <c r="AK981" s="14"/>
      <c r="AL981" s="14"/>
      <c r="AM981" s="14"/>
      <c r="AN981" s="163"/>
      <c r="AO981" s="163"/>
      <c r="AP981" s="14"/>
      <c r="AQ981" s="14"/>
      <c r="AR981" s="14"/>
      <c r="AS981" s="163"/>
      <c r="AT981" s="163"/>
      <c r="AU981" s="164"/>
      <c r="AV981" s="14"/>
      <c r="AW981" s="14"/>
      <c r="AX981" s="14"/>
      <c r="AY981" s="14"/>
      <c r="AZ981" s="14"/>
      <c r="BA981" s="14"/>
      <c r="BB981" s="14"/>
      <c r="BC981" s="14"/>
      <c r="BD981" s="14"/>
      <c r="BE981" s="14"/>
      <c r="BF981" s="14"/>
      <c r="BG981" s="14"/>
      <c r="BH981" s="14"/>
      <c r="BI981" s="14"/>
      <c r="BJ981" s="345"/>
      <c r="BK981" s="345"/>
      <c r="BL981" s="345"/>
      <c r="BM981" s="14"/>
      <c r="BN981" s="14"/>
      <c r="BO981" s="14"/>
    </row>
    <row r="982" spans="1:67" ht="20.100000000000001" customHeight="1">
      <c r="A982" s="14"/>
      <c r="B982" s="10"/>
      <c r="C982" s="14"/>
      <c r="D982" s="10"/>
      <c r="E982" s="10"/>
      <c r="F982" s="10"/>
      <c r="G982" s="15"/>
      <c r="H982" s="3"/>
      <c r="I982" s="3"/>
      <c r="J982" s="15"/>
      <c r="K982" s="15"/>
      <c r="L982" s="3"/>
      <c r="M982" s="15"/>
      <c r="N982" s="15"/>
      <c r="O982" s="15"/>
      <c r="P982" s="3"/>
      <c r="Q982" s="3"/>
      <c r="R982" s="16"/>
      <c r="S982" s="16"/>
      <c r="T982" s="16"/>
      <c r="U982" s="16"/>
      <c r="V982" s="10"/>
      <c r="W982" s="10"/>
      <c r="X982" s="14"/>
      <c r="Y982" s="14"/>
      <c r="Z982" s="14"/>
      <c r="AA982" s="14"/>
      <c r="AB982" s="14"/>
      <c r="AC982" s="14"/>
      <c r="AD982" s="14"/>
      <c r="AE982" s="14"/>
      <c r="AF982" s="14"/>
      <c r="AG982" s="14"/>
      <c r="AH982" s="14"/>
      <c r="AI982" s="14"/>
      <c r="AJ982" s="14"/>
      <c r="AK982" s="14"/>
      <c r="AL982" s="14"/>
      <c r="AM982" s="14"/>
      <c r="AN982" s="163"/>
      <c r="AO982" s="163"/>
      <c r="AP982" s="14"/>
      <c r="AQ982" s="14"/>
      <c r="AR982" s="14"/>
      <c r="AS982" s="163"/>
      <c r="AT982" s="163"/>
      <c r="AU982" s="164"/>
      <c r="AV982" s="14"/>
      <c r="AW982" s="14"/>
      <c r="AX982" s="14"/>
      <c r="AY982" s="14"/>
      <c r="AZ982" s="14"/>
      <c r="BA982" s="14"/>
      <c r="BB982" s="14"/>
      <c r="BC982" s="14"/>
      <c r="BD982" s="14"/>
      <c r="BE982" s="14"/>
      <c r="BF982" s="14"/>
      <c r="BG982" s="14"/>
      <c r="BH982" s="14"/>
      <c r="BI982" s="14"/>
      <c r="BJ982" s="345"/>
      <c r="BK982" s="345"/>
      <c r="BL982" s="345"/>
      <c r="BM982" s="14"/>
      <c r="BN982" s="14"/>
      <c r="BO982" s="14"/>
    </row>
    <row r="983" spans="1:67" ht="20.100000000000001" customHeight="1">
      <c r="A983" s="14"/>
      <c r="B983" s="10"/>
      <c r="C983" s="14"/>
      <c r="D983" s="10"/>
      <c r="E983" s="10"/>
      <c r="F983" s="10"/>
      <c r="G983" s="15"/>
      <c r="H983" s="3"/>
      <c r="I983" s="3"/>
      <c r="J983" s="15"/>
      <c r="K983" s="15"/>
      <c r="L983" s="3"/>
      <c r="M983" s="15"/>
      <c r="N983" s="15"/>
      <c r="O983" s="15"/>
      <c r="P983" s="3"/>
      <c r="Q983" s="3"/>
      <c r="R983" s="16"/>
      <c r="S983" s="16"/>
      <c r="T983" s="16"/>
      <c r="U983" s="16"/>
      <c r="V983" s="10"/>
      <c r="W983" s="10"/>
      <c r="X983" s="14"/>
      <c r="Y983" s="14"/>
      <c r="Z983" s="14"/>
      <c r="AA983" s="14"/>
      <c r="AB983" s="14"/>
      <c r="AC983" s="14"/>
      <c r="AD983" s="14"/>
      <c r="AE983" s="14"/>
      <c r="AF983" s="14"/>
      <c r="AG983" s="14"/>
      <c r="AH983" s="14"/>
      <c r="AI983" s="14"/>
      <c r="AJ983" s="14"/>
      <c r="AK983" s="14"/>
      <c r="AL983" s="14"/>
      <c r="AM983" s="14"/>
      <c r="AN983" s="163"/>
      <c r="AO983" s="163"/>
      <c r="AP983" s="14"/>
      <c r="AQ983" s="14"/>
      <c r="AR983" s="14"/>
      <c r="AS983" s="163"/>
      <c r="AT983" s="163"/>
      <c r="AU983" s="164"/>
      <c r="AV983" s="14"/>
      <c r="AW983" s="14"/>
      <c r="AX983" s="14"/>
      <c r="AY983" s="14"/>
      <c r="AZ983" s="14"/>
      <c r="BA983" s="14"/>
      <c r="BB983" s="14"/>
      <c r="BC983" s="14"/>
      <c r="BD983" s="14"/>
      <c r="BE983" s="14"/>
      <c r="BF983" s="14"/>
      <c r="BG983" s="14"/>
      <c r="BH983" s="14"/>
      <c r="BI983" s="14"/>
      <c r="BJ983" s="345"/>
      <c r="BK983" s="345"/>
      <c r="BL983" s="345"/>
      <c r="BM983" s="14"/>
      <c r="BN983" s="14"/>
      <c r="BO983" s="14"/>
    </row>
    <row r="984" spans="1:67" ht="20.100000000000001" customHeight="1">
      <c r="A984" s="14"/>
      <c r="B984" s="10"/>
      <c r="C984" s="14"/>
      <c r="D984" s="10"/>
      <c r="E984" s="10"/>
      <c r="F984" s="10"/>
      <c r="G984" s="15"/>
      <c r="H984" s="3"/>
      <c r="I984" s="3"/>
      <c r="J984" s="15"/>
      <c r="K984" s="15"/>
      <c r="L984" s="3"/>
      <c r="M984" s="15"/>
      <c r="N984" s="15"/>
      <c r="O984" s="15"/>
      <c r="P984" s="3"/>
      <c r="Q984" s="3"/>
      <c r="R984" s="16"/>
      <c r="S984" s="16"/>
      <c r="T984" s="16"/>
      <c r="U984" s="16"/>
      <c r="V984" s="10"/>
      <c r="W984" s="10"/>
      <c r="X984" s="14"/>
      <c r="Y984" s="14"/>
      <c r="Z984" s="14"/>
      <c r="AA984" s="14"/>
      <c r="AB984" s="14"/>
      <c r="AC984" s="14"/>
      <c r="AD984" s="14"/>
      <c r="AE984" s="14"/>
      <c r="AF984" s="14"/>
      <c r="AG984" s="14"/>
      <c r="AH984" s="14"/>
      <c r="AI984" s="14"/>
      <c r="AJ984" s="14"/>
      <c r="AK984" s="14"/>
      <c r="AL984" s="14"/>
      <c r="AM984" s="14"/>
      <c r="AN984" s="163"/>
      <c r="AO984" s="163"/>
      <c r="AP984" s="14"/>
      <c r="AQ984" s="14"/>
      <c r="AR984" s="14"/>
      <c r="AS984" s="163"/>
      <c r="AT984" s="163"/>
      <c r="AU984" s="164"/>
      <c r="AV984" s="14"/>
      <c r="AW984" s="14"/>
      <c r="AX984" s="14"/>
      <c r="AY984" s="14"/>
      <c r="AZ984" s="14"/>
      <c r="BA984" s="14"/>
      <c r="BB984" s="14"/>
      <c r="BC984" s="14"/>
      <c r="BD984" s="14"/>
      <c r="BE984" s="14"/>
      <c r="BF984" s="14"/>
      <c r="BG984" s="14"/>
      <c r="BH984" s="14"/>
      <c r="BI984" s="14"/>
      <c r="BJ984" s="345"/>
      <c r="BK984" s="345"/>
      <c r="BL984" s="345"/>
      <c r="BM984" s="14"/>
      <c r="BN984" s="14"/>
      <c r="BO984" s="14"/>
    </row>
    <row r="985" spans="1:67" ht="20.100000000000001" customHeight="1">
      <c r="A985" s="14"/>
      <c r="B985" s="10"/>
      <c r="C985" s="14"/>
      <c r="D985" s="10"/>
      <c r="E985" s="10"/>
      <c r="F985" s="10"/>
      <c r="G985" s="15"/>
      <c r="H985" s="3"/>
      <c r="I985" s="3"/>
      <c r="J985" s="15"/>
      <c r="K985" s="15"/>
      <c r="L985" s="3"/>
      <c r="M985" s="15"/>
      <c r="N985" s="15"/>
      <c r="O985" s="15"/>
      <c r="P985" s="3"/>
      <c r="Q985" s="3"/>
      <c r="R985" s="16"/>
      <c r="S985" s="16"/>
      <c r="T985" s="16"/>
      <c r="U985" s="16"/>
      <c r="V985" s="10"/>
      <c r="W985" s="10"/>
      <c r="X985" s="14"/>
      <c r="Y985" s="14"/>
      <c r="Z985" s="14"/>
      <c r="AA985" s="14"/>
      <c r="AB985" s="14"/>
      <c r="AC985" s="14"/>
      <c r="AD985" s="14"/>
      <c r="AE985" s="14"/>
      <c r="AF985" s="14"/>
      <c r="AG985" s="14"/>
      <c r="AH985" s="14"/>
      <c r="AI985" s="14"/>
      <c r="AJ985" s="14"/>
      <c r="AK985" s="14"/>
      <c r="AL985" s="14"/>
      <c r="AM985" s="14"/>
      <c r="AN985" s="163"/>
      <c r="AO985" s="163"/>
      <c r="AP985" s="14"/>
      <c r="AQ985" s="14"/>
      <c r="AR985" s="14"/>
      <c r="AS985" s="163"/>
      <c r="AT985" s="163"/>
      <c r="AU985" s="164"/>
      <c r="AV985" s="14"/>
      <c r="AW985" s="14"/>
      <c r="AX985" s="14"/>
      <c r="AY985" s="14"/>
      <c r="AZ985" s="14"/>
      <c r="BA985" s="14"/>
      <c r="BB985" s="14"/>
      <c r="BC985" s="14"/>
      <c r="BD985" s="14"/>
      <c r="BE985" s="14"/>
      <c r="BF985" s="14"/>
      <c r="BG985" s="14"/>
      <c r="BH985" s="14"/>
      <c r="BI985" s="14"/>
      <c r="BJ985" s="345"/>
      <c r="BK985" s="345"/>
      <c r="BL985" s="345"/>
      <c r="BM985" s="14"/>
      <c r="BN985" s="14"/>
      <c r="BO985" s="14"/>
    </row>
    <row r="986" spans="1:67" ht="20.100000000000001" customHeight="1">
      <c r="A986" s="14"/>
      <c r="B986" s="10"/>
      <c r="C986" s="14"/>
      <c r="D986" s="10"/>
      <c r="E986" s="10"/>
      <c r="F986" s="10"/>
      <c r="G986" s="15"/>
      <c r="H986" s="3"/>
      <c r="I986" s="3"/>
      <c r="J986" s="15"/>
      <c r="K986" s="15"/>
      <c r="L986" s="3"/>
      <c r="M986" s="15"/>
      <c r="N986" s="15"/>
      <c r="O986" s="15"/>
      <c r="P986" s="3"/>
      <c r="Q986" s="3"/>
      <c r="R986" s="16"/>
      <c r="S986" s="16"/>
      <c r="T986" s="16"/>
      <c r="U986" s="16"/>
      <c r="V986" s="10"/>
      <c r="W986" s="10"/>
      <c r="X986" s="14"/>
      <c r="Y986" s="14"/>
      <c r="Z986" s="14"/>
      <c r="AA986" s="14"/>
      <c r="AB986" s="14"/>
      <c r="AC986" s="14"/>
      <c r="AD986" s="14"/>
      <c r="AE986" s="14"/>
      <c r="AF986" s="14"/>
      <c r="AG986" s="14"/>
      <c r="AH986" s="14"/>
      <c r="AI986" s="14"/>
      <c r="AJ986" s="14"/>
      <c r="AK986" s="14"/>
      <c r="AL986" s="14"/>
      <c r="AM986" s="14"/>
      <c r="AN986" s="163"/>
      <c r="AO986" s="163"/>
      <c r="AP986" s="14"/>
      <c r="AQ986" s="14"/>
      <c r="AR986" s="14"/>
      <c r="AS986" s="163"/>
      <c r="AT986" s="163"/>
      <c r="AU986" s="164"/>
      <c r="AV986" s="14"/>
      <c r="AW986" s="14"/>
      <c r="AX986" s="14"/>
      <c r="AY986" s="14"/>
      <c r="AZ986" s="14"/>
      <c r="BA986" s="14"/>
      <c r="BB986" s="14"/>
      <c r="BC986" s="14"/>
      <c r="BD986" s="14"/>
      <c r="BE986" s="14"/>
      <c r="BF986" s="14"/>
      <c r="BG986" s="14"/>
      <c r="BH986" s="14"/>
      <c r="BI986" s="14"/>
      <c r="BJ986" s="345"/>
      <c r="BK986" s="345"/>
      <c r="BL986" s="345"/>
      <c r="BM986" s="14"/>
      <c r="BN986" s="14"/>
      <c r="BO986" s="14"/>
    </row>
    <row r="987" spans="1:67" ht="20.100000000000001" customHeight="1">
      <c r="A987" s="14"/>
      <c r="B987" s="10"/>
      <c r="C987" s="14"/>
      <c r="D987" s="10"/>
      <c r="E987" s="10"/>
      <c r="F987" s="10"/>
      <c r="G987" s="15"/>
      <c r="H987" s="3"/>
      <c r="I987" s="3"/>
      <c r="J987" s="15"/>
      <c r="K987" s="15"/>
      <c r="L987" s="3"/>
      <c r="M987" s="15"/>
      <c r="N987" s="15"/>
      <c r="O987" s="15"/>
      <c r="P987" s="3"/>
      <c r="Q987" s="3"/>
      <c r="R987" s="16"/>
      <c r="S987" s="16"/>
      <c r="T987" s="16"/>
      <c r="U987" s="16"/>
      <c r="V987" s="10"/>
      <c r="W987" s="10"/>
      <c r="X987" s="14"/>
      <c r="Y987" s="14"/>
      <c r="Z987" s="14"/>
      <c r="AA987" s="14"/>
      <c r="AB987" s="14"/>
      <c r="AC987" s="14"/>
      <c r="AD987" s="14"/>
      <c r="AE987" s="14"/>
      <c r="AF987" s="14"/>
      <c r="AG987" s="14"/>
      <c r="AH987" s="14"/>
      <c r="AI987" s="14"/>
      <c r="AJ987" s="14"/>
      <c r="AK987" s="14"/>
      <c r="AL987" s="14"/>
      <c r="AM987" s="14"/>
      <c r="AN987" s="163"/>
      <c r="AO987" s="163"/>
      <c r="AP987" s="14"/>
      <c r="AQ987" s="14"/>
      <c r="AR987" s="14"/>
      <c r="AS987" s="163"/>
      <c r="AT987" s="163"/>
      <c r="AU987" s="164"/>
      <c r="AV987" s="14"/>
      <c r="AW987" s="14"/>
      <c r="AX987" s="14"/>
      <c r="AY987" s="14"/>
      <c r="AZ987" s="14"/>
      <c r="BA987" s="14"/>
      <c r="BB987" s="14"/>
      <c r="BC987" s="14"/>
      <c r="BD987" s="14"/>
      <c r="BE987" s="14"/>
      <c r="BF987" s="14"/>
      <c r="BG987" s="14"/>
      <c r="BH987" s="14"/>
      <c r="BI987" s="14"/>
      <c r="BJ987" s="345"/>
      <c r="BK987" s="345"/>
      <c r="BL987" s="345"/>
      <c r="BM987" s="14"/>
      <c r="BN987" s="14"/>
      <c r="BO987" s="14"/>
    </row>
    <row r="988" spans="1:67" ht="20.100000000000001" customHeight="1">
      <c r="A988" s="14"/>
      <c r="B988" s="10"/>
      <c r="C988" s="14"/>
      <c r="D988" s="10"/>
      <c r="E988" s="10"/>
      <c r="F988" s="10"/>
      <c r="G988" s="15"/>
      <c r="H988" s="3"/>
      <c r="I988" s="3"/>
      <c r="J988" s="15"/>
      <c r="K988" s="15"/>
      <c r="L988" s="3"/>
      <c r="M988" s="15"/>
      <c r="N988" s="15"/>
      <c r="O988" s="15"/>
      <c r="P988" s="3"/>
      <c r="Q988" s="3"/>
      <c r="R988" s="16"/>
      <c r="S988" s="16"/>
      <c r="T988" s="16"/>
      <c r="U988" s="16"/>
      <c r="V988" s="10"/>
      <c r="W988" s="10"/>
      <c r="X988" s="14"/>
      <c r="Y988" s="14"/>
      <c r="Z988" s="14"/>
      <c r="AA988" s="14"/>
      <c r="AB988" s="14"/>
      <c r="AC988" s="14"/>
      <c r="AD988" s="14"/>
      <c r="AE988" s="14"/>
      <c r="AF988" s="14"/>
      <c r="AG988" s="14"/>
      <c r="AH988" s="14"/>
      <c r="AI988" s="14"/>
      <c r="AJ988" s="14"/>
      <c r="AK988" s="14"/>
      <c r="AL988" s="14"/>
      <c r="AM988" s="14"/>
      <c r="AN988" s="163"/>
      <c r="AO988" s="163"/>
      <c r="AP988" s="14"/>
      <c r="AQ988" s="14"/>
      <c r="AR988" s="14"/>
      <c r="AS988" s="163"/>
      <c r="AT988" s="163"/>
      <c r="AU988" s="164"/>
      <c r="AV988" s="14"/>
      <c r="AW988" s="14"/>
      <c r="AX988" s="14"/>
      <c r="AY988" s="14"/>
      <c r="AZ988" s="14"/>
      <c r="BA988" s="14"/>
      <c r="BB988" s="14"/>
      <c r="BC988" s="14"/>
      <c r="BD988" s="14"/>
      <c r="BE988" s="14"/>
      <c r="BF988" s="14"/>
      <c r="BG988" s="14"/>
      <c r="BH988" s="14"/>
      <c r="BI988" s="14"/>
      <c r="BJ988" s="345"/>
      <c r="BK988" s="345"/>
      <c r="BL988" s="345"/>
      <c r="BM988" s="14"/>
      <c r="BN988" s="14"/>
      <c r="BO988" s="14"/>
    </row>
    <row r="989" spans="1:67" ht="20.100000000000001" customHeight="1">
      <c r="A989" s="14"/>
      <c r="B989" s="10"/>
      <c r="C989" s="14"/>
      <c r="D989" s="10"/>
      <c r="E989" s="10"/>
      <c r="F989" s="10"/>
      <c r="G989" s="15"/>
      <c r="H989" s="3"/>
      <c r="I989" s="3"/>
      <c r="J989" s="15"/>
      <c r="K989" s="15"/>
      <c r="L989" s="3"/>
      <c r="M989" s="15"/>
      <c r="N989" s="15"/>
      <c r="O989" s="15"/>
      <c r="P989" s="3"/>
      <c r="Q989" s="3"/>
      <c r="R989" s="16"/>
      <c r="S989" s="16"/>
      <c r="T989" s="16"/>
      <c r="U989" s="16"/>
      <c r="V989" s="10"/>
      <c r="W989" s="10"/>
      <c r="X989" s="14"/>
      <c r="Y989" s="14"/>
      <c r="Z989" s="14"/>
      <c r="AA989" s="14"/>
      <c r="AB989" s="14"/>
      <c r="AC989" s="14"/>
      <c r="AD989" s="14"/>
      <c r="AE989" s="14"/>
      <c r="AF989" s="14"/>
      <c r="AG989" s="14"/>
      <c r="AH989" s="14"/>
      <c r="AI989" s="14"/>
      <c r="AJ989" s="14"/>
      <c r="AK989" s="14"/>
      <c r="AL989" s="14"/>
      <c r="AM989" s="14"/>
      <c r="AN989" s="163"/>
      <c r="AO989" s="163"/>
      <c r="AP989" s="14"/>
      <c r="AQ989" s="14"/>
      <c r="AR989" s="14"/>
      <c r="AS989" s="163"/>
      <c r="AT989" s="163"/>
      <c r="AU989" s="164"/>
      <c r="AV989" s="14"/>
      <c r="AW989" s="14"/>
      <c r="AX989" s="14"/>
      <c r="AY989" s="14"/>
      <c r="AZ989" s="14"/>
      <c r="BA989" s="14"/>
      <c r="BB989" s="14"/>
      <c r="BC989" s="14"/>
      <c r="BD989" s="14"/>
      <c r="BE989" s="14"/>
      <c r="BF989" s="14"/>
      <c r="BG989" s="14"/>
      <c r="BH989" s="14"/>
      <c r="BI989" s="14"/>
      <c r="BJ989" s="345"/>
      <c r="BK989" s="345"/>
      <c r="BL989" s="345"/>
      <c r="BM989" s="14"/>
      <c r="BN989" s="14"/>
      <c r="BO989" s="14"/>
    </row>
    <row r="990" spans="1:67" ht="20.100000000000001" customHeight="1">
      <c r="A990" s="14"/>
      <c r="B990" s="10"/>
      <c r="C990" s="14"/>
      <c r="D990" s="10"/>
      <c r="E990" s="10"/>
      <c r="F990" s="10"/>
      <c r="G990" s="15"/>
      <c r="H990" s="3"/>
      <c r="I990" s="3"/>
      <c r="J990" s="15"/>
      <c r="K990" s="15"/>
      <c r="L990" s="3"/>
      <c r="M990" s="15"/>
      <c r="N990" s="15"/>
      <c r="O990" s="15"/>
      <c r="P990" s="3"/>
      <c r="Q990" s="3"/>
      <c r="R990" s="16"/>
      <c r="S990" s="16"/>
      <c r="T990" s="16"/>
      <c r="U990" s="16"/>
      <c r="V990" s="10"/>
      <c r="W990" s="10"/>
      <c r="X990" s="14"/>
      <c r="Y990" s="14"/>
      <c r="Z990" s="14"/>
      <c r="AA990" s="14"/>
      <c r="AB990" s="14"/>
      <c r="AC990" s="14"/>
      <c r="AD990" s="14"/>
      <c r="AE990" s="14"/>
      <c r="AF990" s="14"/>
      <c r="AG990" s="14"/>
      <c r="AH990" s="14"/>
      <c r="AI990" s="14"/>
      <c r="AJ990" s="14"/>
      <c r="AK990" s="14"/>
      <c r="AL990" s="14"/>
      <c r="AM990" s="14"/>
      <c r="AN990" s="163"/>
      <c r="AO990" s="163"/>
      <c r="AP990" s="14"/>
      <c r="AQ990" s="14"/>
      <c r="AR990" s="14"/>
      <c r="AS990" s="163"/>
      <c r="AT990" s="163"/>
      <c r="AU990" s="164"/>
      <c r="AV990" s="14"/>
      <c r="AW990" s="14"/>
      <c r="AX990" s="14"/>
      <c r="AY990" s="14"/>
      <c r="AZ990" s="14"/>
      <c r="BA990" s="14"/>
      <c r="BB990" s="14"/>
      <c r="BC990" s="14"/>
      <c r="BD990" s="14"/>
      <c r="BE990" s="14"/>
      <c r="BF990" s="14"/>
      <c r="BG990" s="14"/>
      <c r="BH990" s="14"/>
      <c r="BI990" s="14"/>
      <c r="BJ990" s="345"/>
      <c r="BK990" s="345"/>
      <c r="BL990" s="345"/>
      <c r="BM990" s="14"/>
      <c r="BN990" s="14"/>
      <c r="BO990" s="14"/>
    </row>
    <row r="991" spans="1:67" ht="20.100000000000001" customHeight="1">
      <c r="A991" s="14"/>
      <c r="B991" s="10"/>
      <c r="C991" s="14"/>
      <c r="D991" s="10"/>
      <c r="E991" s="10"/>
      <c r="F991" s="10"/>
      <c r="G991" s="15"/>
      <c r="H991" s="3"/>
      <c r="I991" s="3"/>
      <c r="J991" s="15"/>
      <c r="K991" s="15"/>
      <c r="L991" s="3"/>
      <c r="M991" s="15"/>
      <c r="N991" s="15"/>
      <c r="O991" s="15"/>
      <c r="P991" s="3"/>
      <c r="Q991" s="3"/>
      <c r="R991" s="16"/>
      <c r="S991" s="16"/>
      <c r="T991" s="16"/>
      <c r="U991" s="16"/>
      <c r="V991" s="10"/>
      <c r="W991" s="10"/>
      <c r="X991" s="14"/>
      <c r="Y991" s="14"/>
      <c r="Z991" s="14"/>
      <c r="AA991" s="14"/>
      <c r="AB991" s="14"/>
      <c r="AC991" s="14"/>
      <c r="AD991" s="14"/>
      <c r="AE991" s="14"/>
      <c r="AF991" s="14"/>
      <c r="AG991" s="14"/>
      <c r="AH991" s="14"/>
      <c r="AI991" s="14"/>
      <c r="AJ991" s="14"/>
      <c r="AK991" s="14"/>
      <c r="AL991" s="14"/>
      <c r="AM991" s="14"/>
      <c r="AN991" s="163"/>
      <c r="AO991" s="163"/>
      <c r="AP991" s="14"/>
      <c r="AQ991" s="14"/>
      <c r="AR991" s="14"/>
      <c r="AS991" s="163"/>
      <c r="AT991" s="163"/>
      <c r="AU991" s="164"/>
      <c r="AV991" s="14"/>
      <c r="AW991" s="14"/>
      <c r="AX991" s="14"/>
      <c r="AY991" s="14"/>
      <c r="AZ991" s="14"/>
      <c r="BA991" s="14"/>
      <c r="BB991" s="14"/>
      <c r="BC991" s="14"/>
      <c r="BD991" s="14"/>
      <c r="BE991" s="14"/>
      <c r="BF991" s="14"/>
      <c r="BG991" s="14"/>
      <c r="BH991" s="14"/>
      <c r="BI991" s="14"/>
      <c r="BJ991" s="345"/>
      <c r="BK991" s="345"/>
      <c r="BL991" s="345"/>
      <c r="BM991" s="14"/>
      <c r="BN991" s="14"/>
      <c r="BO991" s="14"/>
    </row>
    <row r="992" spans="1:67" ht="20.100000000000001" customHeight="1">
      <c r="A992" s="14"/>
      <c r="B992" s="10"/>
      <c r="C992" s="14"/>
      <c r="D992" s="10"/>
      <c r="E992" s="10"/>
      <c r="F992" s="10"/>
      <c r="G992" s="15"/>
      <c r="H992" s="3"/>
      <c r="I992" s="3"/>
      <c r="J992" s="15"/>
      <c r="K992" s="15"/>
      <c r="L992" s="3"/>
      <c r="M992" s="15"/>
      <c r="N992" s="15"/>
      <c r="O992" s="15"/>
      <c r="P992" s="3"/>
      <c r="Q992" s="3"/>
      <c r="R992" s="16"/>
      <c r="S992" s="16"/>
      <c r="T992" s="16"/>
      <c r="U992" s="16"/>
      <c r="V992" s="10"/>
      <c r="W992" s="10"/>
      <c r="X992" s="14"/>
      <c r="Y992" s="14"/>
      <c r="Z992" s="14"/>
      <c r="AA992" s="14"/>
      <c r="AB992" s="14"/>
      <c r="AC992" s="14"/>
      <c r="AD992" s="14"/>
      <c r="AE992" s="14"/>
      <c r="AF992" s="14"/>
      <c r="AG992" s="14"/>
      <c r="AH992" s="14"/>
      <c r="AI992" s="14"/>
      <c r="AJ992" s="14"/>
      <c r="AK992" s="14"/>
      <c r="AL992" s="14"/>
      <c r="AM992" s="14"/>
      <c r="AN992" s="163"/>
      <c r="AO992" s="163"/>
      <c r="AP992" s="14"/>
      <c r="AQ992" s="14"/>
      <c r="AR992" s="14"/>
      <c r="AS992" s="163"/>
      <c r="AT992" s="163"/>
      <c r="AU992" s="164"/>
      <c r="AV992" s="14"/>
      <c r="AW992" s="14"/>
      <c r="AX992" s="14"/>
      <c r="AY992" s="14"/>
      <c r="AZ992" s="14"/>
      <c r="BA992" s="14"/>
      <c r="BB992" s="14"/>
      <c r="BC992" s="14"/>
      <c r="BD992" s="14"/>
      <c r="BE992" s="14"/>
      <c r="BF992" s="14"/>
      <c r="BG992" s="14"/>
      <c r="BH992" s="14"/>
      <c r="BI992" s="14"/>
      <c r="BJ992" s="345"/>
      <c r="BK992" s="345"/>
      <c r="BL992" s="345"/>
      <c r="BM992" s="14"/>
      <c r="BN992" s="14"/>
      <c r="BO992" s="14"/>
    </row>
    <row r="993" spans="1:67" ht="20.100000000000001" customHeight="1">
      <c r="A993" s="14"/>
      <c r="B993" s="10"/>
      <c r="C993" s="14"/>
      <c r="D993" s="10"/>
      <c r="E993" s="10"/>
      <c r="F993" s="10"/>
      <c r="G993" s="15"/>
      <c r="H993" s="3"/>
      <c r="I993" s="3"/>
      <c r="J993" s="15"/>
      <c r="K993" s="15"/>
      <c r="L993" s="3"/>
      <c r="M993" s="15"/>
      <c r="N993" s="15"/>
      <c r="O993" s="15"/>
      <c r="P993" s="3"/>
      <c r="Q993" s="3"/>
      <c r="R993" s="16"/>
      <c r="S993" s="16"/>
      <c r="T993" s="16"/>
      <c r="U993" s="16"/>
      <c r="V993" s="10"/>
      <c r="W993" s="10"/>
      <c r="X993" s="14"/>
      <c r="Y993" s="14"/>
      <c r="Z993" s="14"/>
      <c r="AA993" s="14"/>
      <c r="AB993" s="14"/>
      <c r="AC993" s="14"/>
      <c r="AD993" s="14"/>
      <c r="AE993" s="14"/>
      <c r="AF993" s="14"/>
      <c r="AG993" s="14"/>
      <c r="AH993" s="14"/>
      <c r="AI993" s="14"/>
      <c r="AJ993" s="14"/>
      <c r="AK993" s="14"/>
      <c r="AL993" s="14"/>
      <c r="AM993" s="14"/>
      <c r="AN993" s="163"/>
      <c r="AO993" s="163"/>
      <c r="AP993" s="14"/>
      <c r="AQ993" s="14"/>
      <c r="AR993" s="14"/>
      <c r="AS993" s="163"/>
      <c r="AT993" s="163"/>
      <c r="AU993" s="164"/>
      <c r="AV993" s="14"/>
      <c r="AW993" s="14"/>
      <c r="AX993" s="14"/>
      <c r="AY993" s="14"/>
      <c r="AZ993" s="14"/>
      <c r="BA993" s="14"/>
      <c r="BB993" s="14"/>
      <c r="BC993" s="14"/>
      <c r="BD993" s="14"/>
      <c r="BE993" s="14"/>
      <c r="BF993" s="14"/>
      <c r="BG993" s="14"/>
      <c r="BH993" s="14"/>
      <c r="BI993" s="14"/>
      <c r="BJ993" s="345"/>
      <c r="BK993" s="345"/>
      <c r="BL993" s="345"/>
      <c r="BM993" s="14"/>
      <c r="BN993" s="14"/>
      <c r="BO993" s="14"/>
    </row>
    <row r="994" spans="1:67" ht="20.100000000000001" customHeight="1">
      <c r="A994" s="14"/>
      <c r="B994" s="10"/>
      <c r="C994" s="14"/>
      <c r="D994" s="10"/>
      <c r="E994" s="10"/>
      <c r="F994" s="10"/>
      <c r="G994" s="15"/>
      <c r="H994" s="3"/>
      <c r="I994" s="3"/>
      <c r="J994" s="15"/>
      <c r="K994" s="15"/>
      <c r="L994" s="3"/>
      <c r="M994" s="15"/>
      <c r="N994" s="15"/>
      <c r="O994" s="15"/>
      <c r="P994" s="3"/>
      <c r="Q994" s="3"/>
      <c r="R994" s="16"/>
      <c r="S994" s="16"/>
      <c r="T994" s="16"/>
      <c r="U994" s="16"/>
      <c r="V994" s="10"/>
      <c r="W994" s="10"/>
      <c r="X994" s="14"/>
      <c r="Y994" s="14"/>
      <c r="Z994" s="14"/>
      <c r="AA994" s="14"/>
      <c r="AB994" s="14"/>
      <c r="AC994" s="14"/>
      <c r="AD994" s="14"/>
      <c r="AE994" s="14"/>
      <c r="AF994" s="14"/>
      <c r="AG994" s="14"/>
      <c r="AH994" s="14"/>
      <c r="AI994" s="14"/>
      <c r="AJ994" s="14"/>
      <c r="AK994" s="14"/>
      <c r="AL994" s="14"/>
      <c r="AM994" s="14"/>
      <c r="AN994" s="163"/>
      <c r="AO994" s="163"/>
      <c r="AP994" s="14"/>
      <c r="AQ994" s="14"/>
      <c r="AR994" s="14"/>
      <c r="AS994" s="163"/>
      <c r="AT994" s="163"/>
      <c r="AU994" s="164"/>
      <c r="AV994" s="14"/>
      <c r="AW994" s="14"/>
      <c r="AX994" s="14"/>
      <c r="AY994" s="14"/>
      <c r="AZ994" s="14"/>
      <c r="BA994" s="14"/>
      <c r="BB994" s="14"/>
      <c r="BC994" s="14"/>
      <c r="BD994" s="14"/>
      <c r="BE994" s="14"/>
      <c r="BF994" s="14"/>
      <c r="BG994" s="14"/>
      <c r="BH994" s="14"/>
      <c r="BI994" s="14"/>
      <c r="BJ994" s="345"/>
      <c r="BK994" s="345"/>
      <c r="BL994" s="345"/>
      <c r="BM994" s="14"/>
      <c r="BN994" s="14"/>
      <c r="BO994" s="14"/>
    </row>
    <row r="995" spans="1:67" ht="20.100000000000001" customHeight="1">
      <c r="A995" s="14"/>
      <c r="B995" s="10"/>
      <c r="C995" s="14"/>
      <c r="D995" s="10"/>
      <c r="E995" s="10"/>
      <c r="F995" s="10"/>
      <c r="G995" s="15"/>
      <c r="H995" s="3"/>
      <c r="I995" s="3"/>
      <c r="J995" s="15"/>
      <c r="K995" s="15"/>
      <c r="L995" s="3"/>
      <c r="M995" s="15"/>
      <c r="N995" s="15"/>
      <c r="O995" s="15"/>
      <c r="P995" s="3"/>
      <c r="Q995" s="3"/>
      <c r="R995" s="16"/>
      <c r="S995" s="16"/>
      <c r="T995" s="16"/>
      <c r="U995" s="16"/>
      <c r="V995" s="10"/>
      <c r="W995" s="10"/>
      <c r="X995" s="14"/>
      <c r="Y995" s="14"/>
      <c r="Z995" s="14"/>
      <c r="AA995" s="14"/>
      <c r="AB995" s="14"/>
      <c r="AC995" s="14"/>
      <c r="AD995" s="14"/>
      <c r="AE995" s="14"/>
      <c r="AF995" s="14"/>
      <c r="AG995" s="14"/>
      <c r="AH995" s="14"/>
      <c r="AI995" s="14"/>
      <c r="AJ995" s="14"/>
      <c r="AK995" s="14"/>
      <c r="AL995" s="14"/>
      <c r="AM995" s="14"/>
      <c r="AN995" s="163"/>
      <c r="AO995" s="163"/>
      <c r="AP995" s="14"/>
      <c r="AQ995" s="14"/>
      <c r="AR995" s="14"/>
      <c r="AS995" s="163"/>
      <c r="AT995" s="163"/>
      <c r="AU995" s="164"/>
      <c r="AV995" s="14"/>
      <c r="AW995" s="14"/>
      <c r="AX995" s="14"/>
      <c r="AY995" s="14"/>
      <c r="AZ995" s="14"/>
      <c r="BA995" s="14"/>
      <c r="BB995" s="14"/>
      <c r="BC995" s="14"/>
      <c r="BD995" s="14"/>
      <c r="BE995" s="14"/>
      <c r="BF995" s="14"/>
      <c r="BG995" s="14"/>
      <c r="BH995" s="14"/>
      <c r="BI995" s="14"/>
      <c r="BJ995" s="345"/>
      <c r="BK995" s="345"/>
      <c r="BL995" s="345"/>
      <c r="BM995" s="14"/>
      <c r="BN995" s="14"/>
      <c r="BO995" s="14"/>
    </row>
    <row r="996" spans="1:67" ht="20.100000000000001" customHeight="1">
      <c r="A996" s="14"/>
      <c r="B996" s="10"/>
      <c r="C996" s="14"/>
      <c r="D996" s="10"/>
      <c r="E996" s="10"/>
      <c r="F996" s="10"/>
      <c r="G996" s="15"/>
      <c r="H996" s="3"/>
      <c r="I996" s="3"/>
      <c r="J996" s="15"/>
      <c r="K996" s="15"/>
      <c r="L996" s="3"/>
      <c r="M996" s="15"/>
      <c r="N996" s="15"/>
      <c r="O996" s="15"/>
      <c r="P996" s="3"/>
      <c r="Q996" s="3"/>
      <c r="R996" s="16"/>
      <c r="S996" s="16"/>
      <c r="T996" s="16"/>
      <c r="U996" s="16"/>
      <c r="V996" s="10"/>
      <c r="W996" s="10"/>
      <c r="X996" s="14"/>
      <c r="Y996" s="14"/>
      <c r="Z996" s="14"/>
      <c r="AA996" s="14"/>
      <c r="AB996" s="14"/>
      <c r="AC996" s="14"/>
      <c r="AD996" s="14"/>
      <c r="AE996" s="14"/>
      <c r="AF996" s="14"/>
      <c r="AG996" s="14"/>
      <c r="AH996" s="14"/>
      <c r="AI996" s="14"/>
      <c r="AJ996" s="14"/>
      <c r="AK996" s="14"/>
      <c r="AL996" s="14"/>
      <c r="AM996" s="14"/>
      <c r="AN996" s="163"/>
      <c r="AO996" s="163"/>
      <c r="AP996" s="14"/>
      <c r="AQ996" s="14"/>
      <c r="AR996" s="14"/>
      <c r="AS996" s="163"/>
      <c r="AT996" s="163"/>
      <c r="AU996" s="164"/>
      <c r="AV996" s="14"/>
      <c r="AW996" s="14"/>
      <c r="AX996" s="14"/>
      <c r="AY996" s="14"/>
      <c r="AZ996" s="14"/>
      <c r="BA996" s="14"/>
      <c r="BB996" s="14"/>
      <c r="BC996" s="14"/>
      <c r="BD996" s="14"/>
      <c r="BE996" s="14"/>
      <c r="BF996" s="14"/>
      <c r="BG996" s="14"/>
      <c r="BH996" s="14"/>
      <c r="BI996" s="14"/>
      <c r="BJ996" s="345"/>
      <c r="BK996" s="345"/>
      <c r="BL996" s="345"/>
      <c r="BM996" s="14"/>
      <c r="BN996" s="14"/>
      <c r="BO996" s="14"/>
    </row>
    <row r="997" spans="1:67" ht="20.100000000000001" customHeight="1">
      <c r="A997" s="14"/>
      <c r="B997" s="10"/>
      <c r="C997" s="14"/>
      <c r="D997" s="10"/>
      <c r="E997" s="10"/>
      <c r="F997" s="10"/>
      <c r="G997" s="15"/>
      <c r="H997" s="3"/>
      <c r="I997" s="3"/>
      <c r="J997" s="15"/>
      <c r="K997" s="15"/>
      <c r="L997" s="3"/>
      <c r="M997" s="15"/>
      <c r="N997" s="15"/>
      <c r="O997" s="15"/>
      <c r="P997" s="3"/>
      <c r="Q997" s="3"/>
      <c r="R997" s="16"/>
      <c r="S997" s="16"/>
      <c r="T997" s="16"/>
      <c r="U997" s="16"/>
      <c r="V997" s="10"/>
      <c r="W997" s="10"/>
      <c r="X997" s="14"/>
      <c r="Y997" s="14"/>
      <c r="Z997" s="14"/>
      <c r="AA997" s="14"/>
      <c r="AB997" s="14"/>
      <c r="AC997" s="14"/>
      <c r="AD997" s="14"/>
      <c r="AE997" s="14"/>
      <c r="AF997" s="14"/>
      <c r="AG997" s="14"/>
      <c r="AH997" s="14"/>
      <c r="AI997" s="14"/>
      <c r="AJ997" s="14"/>
      <c r="AK997" s="14"/>
      <c r="AL997" s="14"/>
      <c r="AM997" s="14"/>
      <c r="AN997" s="163"/>
      <c r="AO997" s="163"/>
      <c r="AP997" s="14"/>
      <c r="AQ997" s="14"/>
      <c r="AR997" s="14"/>
      <c r="AS997" s="163"/>
      <c r="AT997" s="163"/>
      <c r="AU997" s="164"/>
      <c r="AV997" s="14"/>
      <c r="AW997" s="14"/>
      <c r="AX997" s="14"/>
      <c r="AY997" s="14"/>
      <c r="AZ997" s="14"/>
      <c r="BA997" s="14"/>
      <c r="BB997" s="14"/>
      <c r="BC997" s="14"/>
      <c r="BD997" s="14"/>
      <c r="BE997" s="14"/>
      <c r="BF997" s="14"/>
      <c r="BG997" s="14"/>
      <c r="BH997" s="14"/>
      <c r="BI997" s="14"/>
      <c r="BJ997" s="345"/>
      <c r="BK997" s="345"/>
      <c r="BL997" s="345"/>
      <c r="BM997" s="14"/>
      <c r="BN997" s="14"/>
      <c r="BO997" s="14"/>
    </row>
    <row r="998" spans="1:67" ht="20.100000000000001" customHeight="1">
      <c r="A998" s="14"/>
      <c r="B998" s="10"/>
      <c r="C998" s="14"/>
      <c r="D998" s="10"/>
      <c r="E998" s="10"/>
      <c r="F998" s="10"/>
      <c r="G998" s="15"/>
      <c r="H998" s="3"/>
      <c r="I998" s="3"/>
      <c r="J998" s="15"/>
      <c r="K998" s="15"/>
      <c r="L998" s="3"/>
      <c r="M998" s="15"/>
      <c r="N998" s="15"/>
      <c r="O998" s="15"/>
      <c r="P998" s="3"/>
      <c r="Q998" s="3"/>
      <c r="R998" s="16"/>
      <c r="S998" s="16"/>
      <c r="T998" s="16"/>
      <c r="U998" s="16"/>
      <c r="V998" s="10"/>
      <c r="W998" s="10"/>
      <c r="X998" s="14"/>
      <c r="Y998" s="14"/>
      <c r="Z998" s="14"/>
      <c r="AA998" s="14"/>
      <c r="AB998" s="14"/>
      <c r="AC998" s="14"/>
      <c r="AD998" s="14"/>
      <c r="AE998" s="14"/>
      <c r="AF998" s="14"/>
      <c r="AG998" s="14"/>
      <c r="AH998" s="14"/>
      <c r="AI998" s="14"/>
      <c r="AJ998" s="14"/>
      <c r="AK998" s="14"/>
      <c r="AL998" s="14"/>
      <c r="AM998" s="14"/>
      <c r="AN998" s="163"/>
      <c r="AO998" s="163"/>
      <c r="AP998" s="14"/>
      <c r="AQ998" s="14"/>
      <c r="AR998" s="14"/>
      <c r="AS998" s="163"/>
      <c r="AT998" s="163"/>
      <c r="AU998" s="164"/>
      <c r="AV998" s="14"/>
      <c r="AW998" s="14"/>
      <c r="AX998" s="14"/>
      <c r="AY998" s="14"/>
      <c r="AZ998" s="14"/>
      <c r="BA998" s="14"/>
      <c r="BB998" s="14"/>
      <c r="BC998" s="14"/>
      <c r="BD998" s="14"/>
      <c r="BE998" s="14"/>
      <c r="BF998" s="14"/>
      <c r="BG998" s="14"/>
      <c r="BH998" s="14"/>
      <c r="BI998" s="14"/>
      <c r="BJ998" s="345"/>
      <c r="BK998" s="345"/>
      <c r="BL998" s="345"/>
      <c r="BM998" s="14"/>
      <c r="BN998" s="14"/>
      <c r="BO998" s="14"/>
    </row>
    <row r="999" spans="1:67" ht="20.100000000000001" customHeight="1">
      <c r="A999" s="14"/>
      <c r="B999" s="10"/>
      <c r="C999" s="14"/>
      <c r="D999" s="10"/>
      <c r="E999" s="10"/>
      <c r="F999" s="10"/>
      <c r="G999" s="15"/>
      <c r="H999" s="3"/>
      <c r="I999" s="3"/>
      <c r="J999" s="15"/>
      <c r="K999" s="15"/>
      <c r="L999" s="3"/>
      <c r="M999" s="15"/>
      <c r="N999" s="15"/>
      <c r="O999" s="15"/>
      <c r="P999" s="3"/>
      <c r="Q999" s="3"/>
      <c r="R999" s="16"/>
      <c r="S999" s="16"/>
      <c r="T999" s="16"/>
      <c r="U999" s="16"/>
      <c r="V999" s="10"/>
      <c r="W999" s="10"/>
      <c r="X999" s="14"/>
      <c r="Y999" s="14"/>
      <c r="Z999" s="14"/>
      <c r="AA999" s="14"/>
      <c r="AB999" s="14"/>
      <c r="AC999" s="14"/>
      <c r="AD999" s="14"/>
      <c r="AE999" s="14"/>
      <c r="AF999" s="14"/>
      <c r="AG999" s="14"/>
      <c r="AH999" s="14"/>
      <c r="AI999" s="14"/>
      <c r="AJ999" s="14"/>
      <c r="AK999" s="14"/>
      <c r="AL999" s="14"/>
      <c r="AM999" s="14"/>
      <c r="AN999" s="163"/>
      <c r="AO999" s="163"/>
      <c r="AP999" s="14"/>
      <c r="AQ999" s="14"/>
      <c r="AR999" s="14"/>
      <c r="AS999" s="163"/>
      <c r="AT999" s="163"/>
      <c r="AU999" s="164"/>
      <c r="AV999" s="14"/>
      <c r="AW999" s="14"/>
      <c r="AX999" s="14"/>
      <c r="AY999" s="14"/>
      <c r="AZ999" s="14"/>
      <c r="BA999" s="14"/>
      <c r="BB999" s="14"/>
      <c r="BC999" s="14"/>
      <c r="BD999" s="14"/>
      <c r="BE999" s="14"/>
      <c r="BF999" s="14"/>
      <c r="BG999" s="14"/>
      <c r="BH999" s="14"/>
      <c r="BI999" s="14"/>
      <c r="BJ999" s="345"/>
      <c r="BK999" s="345"/>
      <c r="BL999" s="345"/>
      <c r="BM999" s="14"/>
      <c r="BN999" s="14"/>
      <c r="BO999" s="14"/>
    </row>
    <row r="1000" spans="1:67" ht="20.100000000000001" customHeight="1">
      <c r="A1000" s="14"/>
      <c r="B1000" s="10"/>
      <c r="C1000" s="14"/>
      <c r="D1000" s="10"/>
      <c r="E1000" s="10"/>
      <c r="F1000" s="10"/>
      <c r="G1000" s="15"/>
      <c r="H1000" s="3"/>
      <c r="I1000" s="3"/>
      <c r="J1000" s="15"/>
      <c r="K1000" s="15"/>
      <c r="L1000" s="3"/>
      <c r="M1000" s="15"/>
      <c r="N1000" s="15"/>
      <c r="O1000" s="15"/>
      <c r="P1000" s="3"/>
      <c r="Q1000" s="3"/>
      <c r="R1000" s="16"/>
      <c r="S1000" s="16"/>
      <c r="T1000" s="16"/>
      <c r="U1000" s="16"/>
      <c r="V1000" s="10"/>
      <c r="W1000" s="10"/>
      <c r="X1000" s="14"/>
      <c r="Y1000" s="14"/>
      <c r="Z1000" s="14"/>
      <c r="AA1000" s="14"/>
      <c r="AB1000" s="14"/>
      <c r="AC1000" s="14"/>
      <c r="AD1000" s="14"/>
      <c r="AE1000" s="14"/>
      <c r="AF1000" s="14"/>
      <c r="AG1000" s="14"/>
      <c r="AH1000" s="14"/>
      <c r="AI1000" s="14"/>
      <c r="AJ1000" s="14"/>
      <c r="AK1000" s="14"/>
      <c r="AL1000" s="14"/>
      <c r="AM1000" s="14"/>
      <c r="AN1000" s="163"/>
      <c r="AO1000" s="163"/>
      <c r="AP1000" s="14"/>
      <c r="AQ1000" s="14"/>
      <c r="AR1000" s="14"/>
      <c r="AS1000" s="163"/>
      <c r="AT1000" s="163"/>
      <c r="AU1000" s="164"/>
      <c r="AV1000" s="14"/>
      <c r="AW1000" s="14"/>
      <c r="AX1000" s="14"/>
      <c r="AY1000" s="14"/>
      <c r="AZ1000" s="14"/>
      <c r="BA1000" s="14"/>
      <c r="BB1000" s="14"/>
      <c r="BC1000" s="14"/>
      <c r="BD1000" s="14"/>
      <c r="BE1000" s="14"/>
      <c r="BF1000" s="14"/>
      <c r="BG1000" s="14"/>
      <c r="BH1000" s="14"/>
      <c r="BI1000" s="14"/>
      <c r="BJ1000" s="345"/>
      <c r="BK1000" s="345"/>
      <c r="BL1000" s="345"/>
      <c r="BM1000" s="14"/>
      <c r="BN1000" s="14"/>
      <c r="BO1000" s="14"/>
    </row>
  </sheetData>
  <autoFilter ref="A6:BL180" xr:uid="{00000000-0009-0000-0000-000003000000}"/>
  <mergeCells count="8">
    <mergeCell ref="D5:G5"/>
    <mergeCell ref="C4:R4"/>
    <mergeCell ref="AG5:AJ5"/>
    <mergeCell ref="AL5:AO5"/>
    <mergeCell ref="AQ5:AT5"/>
    <mergeCell ref="H5:K5"/>
    <mergeCell ref="L5:N5"/>
    <mergeCell ref="O5:R5"/>
  </mergeCells>
  <printOptions horizontalCentered="1" verticalCentered="1"/>
  <pageMargins left="0" right="0" top="0.98425196850393704" bottom="0.98425196850393704" header="0" footer="0"/>
  <pageSetup paperSize="5" orientation="landscape" r:id="rId1"/>
  <rowBreaks count="1" manualBreakCount="1">
    <brk id="37" man="1"/>
  </rowBreaks>
  <drawing r:id="rId2"/>
  <legacyDrawing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Seleccione tipo de evidencia" xr:uid="{00000000-0002-0000-0300-000000000000}">
          <x14:formula1>
            <xm:f>Hoja2!$A$2:$A$4</xm:f>
          </x14:formula1>
          <xm:sqref>Y7:Y176</xm:sqref>
        </x14:dataValidation>
        <x14:dataValidation type="list" allowBlank="1" showErrorMessage="1" xr:uid="{00000000-0002-0000-0300-000001000000}">
          <x14:formula1>
            <xm:f>Hoja2!$C$2:$C$5</xm:f>
          </x14:formula1>
          <xm:sqref>AA7:AA176</xm:sqref>
        </x14:dataValidation>
        <x14:dataValidation type="list" allowBlank="1" showErrorMessage="1" xr:uid="{00000000-0002-0000-0300-000002000000}">
          <x14:formula1>
            <xm:f>Hoja2!$E$2:$E$11</xm:f>
          </x14:formula1>
          <xm:sqref>BJ7:BJ126 BJ147 BJ159</xm:sqref>
        </x14:dataValidation>
        <x14:dataValidation type="list" allowBlank="1" showErrorMessage="1" xr:uid="{00000000-0002-0000-0300-000003000000}">
          <x14:formula1>
            <xm:f>Hoja2!$H$2:$H$28</xm:f>
          </x14:formula1>
          <xm:sqref>BK7:BK126 BK147 BK159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00"/>
  <sheetViews>
    <sheetView workbookViewId="0"/>
  </sheetViews>
  <sheetFormatPr defaultColWidth="14.42578125" defaultRowHeight="15" customHeight="1"/>
  <cols>
    <col min="1" max="7" width="11.42578125" customWidth="1"/>
    <col min="8" max="8" width="79.85546875" customWidth="1"/>
    <col min="9" max="26" width="11.42578125" customWidth="1"/>
  </cols>
  <sheetData>
    <row r="1" spans="1:8">
      <c r="A1" s="10" t="s">
        <v>953</v>
      </c>
      <c r="C1" s="375" t="s">
        <v>954</v>
      </c>
      <c r="D1" s="383"/>
      <c r="E1" s="10" t="s">
        <v>955</v>
      </c>
      <c r="H1" s="173" t="s">
        <v>956</v>
      </c>
    </row>
    <row r="2" spans="1:8" ht="49.5">
      <c r="A2" s="10" t="s">
        <v>957</v>
      </c>
      <c r="C2" s="174" t="s">
        <v>958</v>
      </c>
      <c r="E2" s="175" t="s">
        <v>959</v>
      </c>
      <c r="H2" s="176" t="s">
        <v>960</v>
      </c>
    </row>
    <row r="3" spans="1:8" ht="33">
      <c r="A3" s="10" t="s">
        <v>961</v>
      </c>
      <c r="C3" s="174" t="s">
        <v>962</v>
      </c>
      <c r="E3" s="177" t="s">
        <v>963</v>
      </c>
      <c r="H3" s="176" t="s">
        <v>964</v>
      </c>
    </row>
    <row r="4" spans="1:8" ht="49.5">
      <c r="A4" s="174" t="s">
        <v>965</v>
      </c>
      <c r="C4" s="174" t="s">
        <v>966</v>
      </c>
      <c r="E4" s="177" t="s">
        <v>967</v>
      </c>
      <c r="H4" s="178" t="s">
        <v>78</v>
      </c>
    </row>
    <row r="5" spans="1:8" ht="33">
      <c r="C5" s="174" t="s">
        <v>968</v>
      </c>
      <c r="E5" s="177" t="s">
        <v>969</v>
      </c>
      <c r="H5" s="176" t="s">
        <v>970</v>
      </c>
    </row>
    <row r="6" spans="1:8" ht="16.5">
      <c r="E6" s="177" t="s">
        <v>971</v>
      </c>
      <c r="H6" s="176" t="s">
        <v>85</v>
      </c>
    </row>
    <row r="7" spans="1:8" ht="33">
      <c r="E7" s="177" t="s">
        <v>972</v>
      </c>
      <c r="H7" s="176" t="s">
        <v>973</v>
      </c>
    </row>
    <row r="8" spans="1:8" ht="49.5">
      <c r="E8" s="177" t="s">
        <v>974</v>
      </c>
      <c r="H8" s="176" t="s">
        <v>975</v>
      </c>
    </row>
    <row r="9" spans="1:8" ht="16.5">
      <c r="E9" s="177" t="s">
        <v>976</v>
      </c>
      <c r="H9" s="176" t="s">
        <v>977</v>
      </c>
    </row>
    <row r="10" spans="1:8" ht="16.5">
      <c r="E10" s="177" t="s">
        <v>978</v>
      </c>
      <c r="H10" s="176" t="s">
        <v>100</v>
      </c>
    </row>
    <row r="11" spans="1:8" ht="16.5">
      <c r="E11" s="177" t="s">
        <v>979</v>
      </c>
      <c r="H11" s="176" t="s">
        <v>70</v>
      </c>
    </row>
    <row r="12" spans="1:8" ht="16.5">
      <c r="H12" s="176" t="s">
        <v>72</v>
      </c>
    </row>
    <row r="13" spans="1:8" ht="16.5">
      <c r="H13" s="176" t="s">
        <v>74</v>
      </c>
    </row>
    <row r="14" spans="1:8" ht="33">
      <c r="H14" s="176" t="s">
        <v>91</v>
      </c>
    </row>
    <row r="15" spans="1:8" ht="16.5">
      <c r="H15" s="176" t="s">
        <v>96</v>
      </c>
    </row>
    <row r="16" spans="1:8" ht="33">
      <c r="H16" s="176" t="s">
        <v>980</v>
      </c>
    </row>
    <row r="17" spans="8:8" ht="16.5">
      <c r="H17" s="176" t="s">
        <v>981</v>
      </c>
    </row>
    <row r="18" spans="8:8" ht="33">
      <c r="H18" s="176" t="s">
        <v>982</v>
      </c>
    </row>
    <row r="19" spans="8:8" ht="16.5">
      <c r="H19" s="176" t="s">
        <v>80</v>
      </c>
    </row>
    <row r="20" spans="8:8" ht="16.5">
      <c r="H20" s="176" t="s">
        <v>86</v>
      </c>
    </row>
    <row r="21" spans="8:8" ht="15.75" customHeight="1">
      <c r="H21" s="176" t="s">
        <v>983</v>
      </c>
    </row>
    <row r="22" spans="8:8" ht="15.75" customHeight="1">
      <c r="H22" s="176" t="s">
        <v>88</v>
      </c>
    </row>
    <row r="23" spans="8:8" ht="15.75" customHeight="1">
      <c r="H23" s="176" t="s">
        <v>984</v>
      </c>
    </row>
    <row r="24" spans="8:8" ht="15.75" customHeight="1">
      <c r="H24" s="176" t="s">
        <v>90</v>
      </c>
    </row>
    <row r="25" spans="8:8" ht="15.75" customHeight="1">
      <c r="H25" s="176" t="s">
        <v>985</v>
      </c>
    </row>
    <row r="26" spans="8:8" ht="15.75" customHeight="1">
      <c r="H26" s="176" t="s">
        <v>93</v>
      </c>
    </row>
    <row r="27" spans="8:8" ht="15.75" customHeight="1">
      <c r="H27" s="178" t="s">
        <v>986</v>
      </c>
    </row>
    <row r="28" spans="8:8" ht="15.75" customHeight="1">
      <c r="H28" s="176" t="s">
        <v>987</v>
      </c>
    </row>
    <row r="29" spans="8:8" ht="15.75" customHeight="1">
      <c r="H29" s="109"/>
    </row>
    <row r="30" spans="8:8" ht="15.75" customHeight="1">
      <c r="H30" s="109"/>
    </row>
    <row r="31" spans="8:8" ht="15.75" customHeight="1">
      <c r="H31" s="109"/>
    </row>
    <row r="32" spans="8:8" ht="15.75" customHeight="1">
      <c r="H32" s="109"/>
    </row>
    <row r="33" spans="8:8" ht="15.75" customHeight="1">
      <c r="H33" s="109"/>
    </row>
    <row r="34" spans="8:8" ht="15.75" customHeight="1">
      <c r="H34" s="109"/>
    </row>
    <row r="35" spans="8:8" ht="15.75" customHeight="1">
      <c r="H35" s="109"/>
    </row>
    <row r="36" spans="8:8" ht="15.75" customHeight="1">
      <c r="H36" s="109"/>
    </row>
    <row r="37" spans="8:8" ht="15.75" customHeight="1">
      <c r="H37" s="109"/>
    </row>
    <row r="38" spans="8:8" ht="15.75" customHeight="1">
      <c r="H38" s="109"/>
    </row>
    <row r="39" spans="8:8" ht="15.75" customHeight="1">
      <c r="H39" s="109"/>
    </row>
    <row r="40" spans="8:8" ht="15.75" customHeight="1">
      <c r="H40" s="109"/>
    </row>
    <row r="41" spans="8:8" ht="15.75" customHeight="1">
      <c r="H41" s="109"/>
    </row>
    <row r="42" spans="8:8" ht="15.75" customHeight="1">
      <c r="H42" s="109"/>
    </row>
    <row r="43" spans="8:8" ht="15.75" customHeight="1">
      <c r="H43" s="109"/>
    </row>
    <row r="44" spans="8:8" ht="15.75" customHeight="1">
      <c r="H44" s="109"/>
    </row>
    <row r="45" spans="8:8" ht="15.75" customHeight="1">
      <c r="H45" s="109"/>
    </row>
    <row r="46" spans="8:8" ht="15.75" customHeight="1">
      <c r="H46" s="109"/>
    </row>
    <row r="47" spans="8:8" ht="15.75" customHeight="1">
      <c r="H47" s="109"/>
    </row>
    <row r="48" spans="8:8" ht="15.75" customHeight="1">
      <c r="H48" s="109"/>
    </row>
    <row r="49" spans="8:8" ht="15.75" customHeight="1">
      <c r="H49" s="109"/>
    </row>
    <row r="50" spans="8:8" ht="15.75" customHeight="1">
      <c r="H50" s="109"/>
    </row>
    <row r="51" spans="8:8" ht="15.75" customHeight="1">
      <c r="H51" s="109"/>
    </row>
    <row r="52" spans="8:8" ht="15.75" customHeight="1">
      <c r="H52" s="109"/>
    </row>
    <row r="53" spans="8:8" ht="15.75" customHeight="1">
      <c r="H53" s="109"/>
    </row>
    <row r="54" spans="8:8" ht="15.75" customHeight="1">
      <c r="H54" s="109"/>
    </row>
    <row r="55" spans="8:8" ht="15.75" customHeight="1">
      <c r="H55" s="109"/>
    </row>
    <row r="56" spans="8:8" ht="15.75" customHeight="1">
      <c r="H56" s="109"/>
    </row>
    <row r="57" spans="8:8" ht="15.75" customHeight="1">
      <c r="H57" s="109"/>
    </row>
    <row r="58" spans="8:8" ht="15.75" customHeight="1">
      <c r="H58" s="109"/>
    </row>
    <row r="59" spans="8:8" ht="15.75" customHeight="1">
      <c r="H59" s="109"/>
    </row>
    <row r="60" spans="8:8" ht="15.75" customHeight="1">
      <c r="H60" s="109"/>
    </row>
    <row r="61" spans="8:8" ht="15.75" customHeight="1">
      <c r="H61" s="109"/>
    </row>
    <row r="62" spans="8:8" ht="15.75" customHeight="1">
      <c r="H62" s="109"/>
    </row>
    <row r="63" spans="8:8" ht="15.75" customHeight="1">
      <c r="H63" s="109"/>
    </row>
    <row r="64" spans="8:8" ht="15.75" customHeight="1">
      <c r="H64" s="109"/>
    </row>
    <row r="65" spans="8:8" ht="15.75" customHeight="1">
      <c r="H65" s="109"/>
    </row>
    <row r="66" spans="8:8" ht="15.75" customHeight="1">
      <c r="H66" s="109"/>
    </row>
    <row r="67" spans="8:8" ht="15.75" customHeight="1">
      <c r="H67" s="109"/>
    </row>
    <row r="68" spans="8:8" ht="15.75" customHeight="1">
      <c r="H68" s="109"/>
    </row>
    <row r="69" spans="8:8" ht="15.75" customHeight="1">
      <c r="H69" s="109"/>
    </row>
    <row r="70" spans="8:8" ht="15.75" customHeight="1">
      <c r="H70" s="109"/>
    </row>
    <row r="71" spans="8:8" ht="15.75" customHeight="1">
      <c r="H71" s="109"/>
    </row>
    <row r="72" spans="8:8" ht="15.75" customHeight="1">
      <c r="H72" s="109"/>
    </row>
    <row r="73" spans="8:8" ht="15.75" customHeight="1">
      <c r="H73" s="109"/>
    </row>
    <row r="74" spans="8:8" ht="15.75" customHeight="1">
      <c r="H74" s="109"/>
    </row>
    <row r="75" spans="8:8" ht="15.75" customHeight="1">
      <c r="H75" s="109"/>
    </row>
    <row r="76" spans="8:8" ht="15.75" customHeight="1">
      <c r="H76" s="109"/>
    </row>
    <row r="77" spans="8:8" ht="15.75" customHeight="1">
      <c r="H77" s="109"/>
    </row>
    <row r="78" spans="8:8" ht="15.75" customHeight="1">
      <c r="H78" s="109"/>
    </row>
    <row r="79" spans="8:8" ht="15.75" customHeight="1">
      <c r="H79" s="109"/>
    </row>
    <row r="80" spans="8:8" ht="15.75" customHeight="1">
      <c r="H80" s="109"/>
    </row>
    <row r="81" spans="8:8" ht="15.75" customHeight="1">
      <c r="H81" s="109"/>
    </row>
    <row r="82" spans="8:8" ht="15.75" customHeight="1">
      <c r="H82" s="109"/>
    </row>
    <row r="83" spans="8:8" ht="15.75" customHeight="1">
      <c r="H83" s="109"/>
    </row>
    <row r="84" spans="8:8" ht="15.75" customHeight="1">
      <c r="H84" s="109"/>
    </row>
    <row r="85" spans="8:8" ht="15.75" customHeight="1">
      <c r="H85" s="109"/>
    </row>
    <row r="86" spans="8:8" ht="15.75" customHeight="1">
      <c r="H86" s="109"/>
    </row>
    <row r="87" spans="8:8" ht="15.75" customHeight="1">
      <c r="H87" s="109"/>
    </row>
    <row r="88" spans="8:8" ht="15.75" customHeight="1">
      <c r="H88" s="109"/>
    </row>
    <row r="89" spans="8:8" ht="15.75" customHeight="1">
      <c r="H89" s="109"/>
    </row>
    <row r="90" spans="8:8" ht="15.75" customHeight="1">
      <c r="H90" s="109"/>
    </row>
    <row r="91" spans="8:8" ht="15.75" customHeight="1">
      <c r="H91" s="109"/>
    </row>
    <row r="92" spans="8:8" ht="15.75" customHeight="1">
      <c r="H92" s="109"/>
    </row>
    <row r="93" spans="8:8" ht="15.75" customHeight="1">
      <c r="H93" s="109"/>
    </row>
    <row r="94" spans="8:8" ht="15.75" customHeight="1">
      <c r="H94" s="109"/>
    </row>
    <row r="95" spans="8:8" ht="15.75" customHeight="1">
      <c r="H95" s="109"/>
    </row>
    <row r="96" spans="8:8" ht="15.75" customHeight="1">
      <c r="H96" s="109"/>
    </row>
    <row r="97" spans="8:8" ht="15.75" customHeight="1">
      <c r="H97" s="109"/>
    </row>
    <row r="98" spans="8:8" ht="15.75" customHeight="1">
      <c r="H98" s="109"/>
    </row>
    <row r="99" spans="8:8" ht="15.75" customHeight="1">
      <c r="H99" s="109"/>
    </row>
    <row r="100" spans="8:8" ht="15.75" customHeight="1">
      <c r="H100" s="109"/>
    </row>
    <row r="101" spans="8:8" ht="15.75" customHeight="1">
      <c r="H101" s="109"/>
    </row>
    <row r="102" spans="8:8" ht="15.75" customHeight="1">
      <c r="H102" s="109"/>
    </row>
    <row r="103" spans="8:8" ht="15.75" customHeight="1">
      <c r="H103" s="109"/>
    </row>
    <row r="104" spans="8:8" ht="15.75" customHeight="1">
      <c r="H104" s="109"/>
    </row>
    <row r="105" spans="8:8" ht="15.75" customHeight="1">
      <c r="H105" s="109"/>
    </row>
    <row r="106" spans="8:8" ht="15.75" customHeight="1">
      <c r="H106" s="109"/>
    </row>
    <row r="107" spans="8:8" ht="15.75" customHeight="1">
      <c r="H107" s="109"/>
    </row>
    <row r="108" spans="8:8" ht="15.75" customHeight="1">
      <c r="H108" s="109"/>
    </row>
    <row r="109" spans="8:8" ht="15.75" customHeight="1">
      <c r="H109" s="109"/>
    </row>
    <row r="110" spans="8:8" ht="15.75" customHeight="1">
      <c r="H110" s="109"/>
    </row>
    <row r="111" spans="8:8" ht="15.75" customHeight="1">
      <c r="H111" s="109"/>
    </row>
    <row r="112" spans="8:8" ht="15.75" customHeight="1">
      <c r="H112" s="109"/>
    </row>
    <row r="113" spans="8:8" ht="15.75" customHeight="1">
      <c r="H113" s="109"/>
    </row>
    <row r="114" spans="8:8" ht="15.75" customHeight="1">
      <c r="H114" s="109"/>
    </row>
    <row r="115" spans="8:8" ht="15.75" customHeight="1">
      <c r="H115" s="109"/>
    </row>
    <row r="116" spans="8:8" ht="15.75" customHeight="1">
      <c r="H116" s="109"/>
    </row>
    <row r="117" spans="8:8" ht="15.75" customHeight="1">
      <c r="H117" s="109"/>
    </row>
    <row r="118" spans="8:8" ht="15.75" customHeight="1">
      <c r="H118" s="109"/>
    </row>
    <row r="119" spans="8:8" ht="15.75" customHeight="1">
      <c r="H119" s="109"/>
    </row>
    <row r="120" spans="8:8" ht="15.75" customHeight="1">
      <c r="H120" s="109"/>
    </row>
    <row r="121" spans="8:8" ht="15.75" customHeight="1">
      <c r="H121" s="109"/>
    </row>
    <row r="122" spans="8:8" ht="15.75" customHeight="1">
      <c r="H122" s="109"/>
    </row>
    <row r="123" spans="8:8" ht="15.75" customHeight="1">
      <c r="H123" s="109"/>
    </row>
    <row r="124" spans="8:8" ht="15.75" customHeight="1">
      <c r="H124" s="109"/>
    </row>
    <row r="125" spans="8:8" ht="15.75" customHeight="1">
      <c r="H125" s="109"/>
    </row>
    <row r="126" spans="8:8" ht="15.75" customHeight="1">
      <c r="H126" s="109"/>
    </row>
    <row r="127" spans="8:8" ht="15.75" customHeight="1">
      <c r="H127" s="109"/>
    </row>
    <row r="128" spans="8:8" ht="15.75" customHeight="1">
      <c r="H128" s="109"/>
    </row>
    <row r="129" spans="8:8" ht="15.75" customHeight="1">
      <c r="H129" s="109"/>
    </row>
    <row r="130" spans="8:8" ht="15.75" customHeight="1">
      <c r="H130" s="109"/>
    </row>
    <row r="131" spans="8:8" ht="15.75" customHeight="1">
      <c r="H131" s="109"/>
    </row>
    <row r="132" spans="8:8" ht="15.75" customHeight="1">
      <c r="H132" s="109"/>
    </row>
    <row r="133" spans="8:8" ht="15.75" customHeight="1">
      <c r="H133" s="109"/>
    </row>
    <row r="134" spans="8:8" ht="15.75" customHeight="1">
      <c r="H134" s="109"/>
    </row>
    <row r="135" spans="8:8" ht="15.75" customHeight="1">
      <c r="H135" s="109"/>
    </row>
    <row r="136" spans="8:8" ht="15.75" customHeight="1">
      <c r="H136" s="109"/>
    </row>
    <row r="137" spans="8:8" ht="15.75" customHeight="1">
      <c r="H137" s="109"/>
    </row>
    <row r="138" spans="8:8" ht="15.75" customHeight="1">
      <c r="H138" s="109"/>
    </row>
    <row r="139" spans="8:8" ht="15.75" customHeight="1">
      <c r="H139" s="109"/>
    </row>
    <row r="140" spans="8:8" ht="15.75" customHeight="1">
      <c r="H140" s="109"/>
    </row>
    <row r="141" spans="8:8" ht="15.75" customHeight="1">
      <c r="H141" s="109"/>
    </row>
    <row r="142" spans="8:8" ht="15.75" customHeight="1">
      <c r="H142" s="109"/>
    </row>
    <row r="143" spans="8:8" ht="15.75" customHeight="1">
      <c r="H143" s="109"/>
    </row>
    <row r="144" spans="8:8" ht="15.75" customHeight="1">
      <c r="H144" s="109"/>
    </row>
    <row r="145" spans="8:8" ht="15.75" customHeight="1">
      <c r="H145" s="109"/>
    </row>
    <row r="146" spans="8:8" ht="15.75" customHeight="1">
      <c r="H146" s="109"/>
    </row>
    <row r="147" spans="8:8" ht="15.75" customHeight="1">
      <c r="H147" s="109"/>
    </row>
    <row r="148" spans="8:8" ht="15.75" customHeight="1">
      <c r="H148" s="109"/>
    </row>
    <row r="149" spans="8:8" ht="15.75" customHeight="1">
      <c r="H149" s="109"/>
    </row>
    <row r="150" spans="8:8" ht="15.75" customHeight="1">
      <c r="H150" s="109"/>
    </row>
    <row r="151" spans="8:8" ht="15.75" customHeight="1">
      <c r="H151" s="109"/>
    </row>
    <row r="152" spans="8:8" ht="15.75" customHeight="1">
      <c r="H152" s="109"/>
    </row>
    <row r="153" spans="8:8" ht="15.75" customHeight="1">
      <c r="H153" s="109"/>
    </row>
    <row r="154" spans="8:8" ht="15.75" customHeight="1">
      <c r="H154" s="109"/>
    </row>
    <row r="155" spans="8:8" ht="15.75" customHeight="1">
      <c r="H155" s="109"/>
    </row>
    <row r="156" spans="8:8" ht="15.75" customHeight="1">
      <c r="H156" s="109"/>
    </row>
    <row r="157" spans="8:8" ht="15.75" customHeight="1">
      <c r="H157" s="109"/>
    </row>
    <row r="158" spans="8:8" ht="15.75" customHeight="1">
      <c r="H158" s="109"/>
    </row>
    <row r="159" spans="8:8" ht="15.75" customHeight="1">
      <c r="H159" s="109"/>
    </row>
    <row r="160" spans="8:8" ht="15.75" customHeight="1">
      <c r="H160" s="109"/>
    </row>
    <row r="161" spans="8:8" ht="15.75" customHeight="1">
      <c r="H161" s="109"/>
    </row>
    <row r="162" spans="8:8" ht="15.75" customHeight="1">
      <c r="H162" s="109"/>
    </row>
    <row r="163" spans="8:8" ht="15.75" customHeight="1">
      <c r="H163" s="109"/>
    </row>
    <row r="164" spans="8:8" ht="15.75" customHeight="1">
      <c r="H164" s="109"/>
    </row>
    <row r="165" spans="8:8" ht="15.75" customHeight="1">
      <c r="H165" s="109"/>
    </row>
    <row r="166" spans="8:8" ht="15.75" customHeight="1">
      <c r="H166" s="109"/>
    </row>
    <row r="167" spans="8:8" ht="15.75" customHeight="1">
      <c r="H167" s="109"/>
    </row>
    <row r="168" spans="8:8" ht="15.75" customHeight="1">
      <c r="H168" s="109"/>
    </row>
    <row r="169" spans="8:8" ht="15.75" customHeight="1">
      <c r="H169" s="109"/>
    </row>
    <row r="170" spans="8:8" ht="15.75" customHeight="1">
      <c r="H170" s="109"/>
    </row>
    <row r="171" spans="8:8" ht="15.75" customHeight="1">
      <c r="H171" s="109"/>
    </row>
    <row r="172" spans="8:8" ht="15.75" customHeight="1">
      <c r="H172" s="109"/>
    </row>
    <row r="173" spans="8:8" ht="15.75" customHeight="1">
      <c r="H173" s="109"/>
    </row>
    <row r="174" spans="8:8" ht="15.75" customHeight="1">
      <c r="H174" s="109"/>
    </row>
    <row r="175" spans="8:8" ht="15.75" customHeight="1">
      <c r="H175" s="109"/>
    </row>
    <row r="176" spans="8:8" ht="15.75" customHeight="1">
      <c r="H176" s="109"/>
    </row>
    <row r="177" spans="8:8" ht="15.75" customHeight="1">
      <c r="H177" s="109"/>
    </row>
    <row r="178" spans="8:8" ht="15.75" customHeight="1">
      <c r="H178" s="109"/>
    </row>
    <row r="179" spans="8:8" ht="15.75" customHeight="1">
      <c r="H179" s="109"/>
    </row>
    <row r="180" spans="8:8" ht="15.75" customHeight="1">
      <c r="H180" s="109"/>
    </row>
    <row r="181" spans="8:8" ht="15.75" customHeight="1">
      <c r="H181" s="109"/>
    </row>
    <row r="182" spans="8:8" ht="15.75" customHeight="1">
      <c r="H182" s="109"/>
    </row>
    <row r="183" spans="8:8" ht="15.75" customHeight="1">
      <c r="H183" s="109"/>
    </row>
    <row r="184" spans="8:8" ht="15.75" customHeight="1">
      <c r="H184" s="109"/>
    </row>
    <row r="185" spans="8:8" ht="15.75" customHeight="1">
      <c r="H185" s="109"/>
    </row>
    <row r="186" spans="8:8" ht="15.75" customHeight="1">
      <c r="H186" s="109"/>
    </row>
    <row r="187" spans="8:8" ht="15.75" customHeight="1">
      <c r="H187" s="109"/>
    </row>
    <row r="188" spans="8:8" ht="15.75" customHeight="1">
      <c r="H188" s="109"/>
    </row>
    <row r="189" spans="8:8" ht="15.75" customHeight="1">
      <c r="H189" s="109"/>
    </row>
    <row r="190" spans="8:8" ht="15.75" customHeight="1">
      <c r="H190" s="109"/>
    </row>
    <row r="191" spans="8:8" ht="15.75" customHeight="1">
      <c r="H191" s="109"/>
    </row>
    <row r="192" spans="8:8" ht="15.75" customHeight="1">
      <c r="H192" s="109"/>
    </row>
    <row r="193" spans="8:8" ht="15.75" customHeight="1">
      <c r="H193" s="109"/>
    </row>
    <row r="194" spans="8:8" ht="15.75" customHeight="1">
      <c r="H194" s="109"/>
    </row>
    <row r="195" spans="8:8" ht="15.75" customHeight="1">
      <c r="H195" s="109"/>
    </row>
    <row r="196" spans="8:8" ht="15.75" customHeight="1">
      <c r="H196" s="109"/>
    </row>
    <row r="197" spans="8:8" ht="15.75" customHeight="1">
      <c r="H197" s="109"/>
    </row>
    <row r="198" spans="8:8" ht="15.75" customHeight="1">
      <c r="H198" s="109"/>
    </row>
    <row r="199" spans="8:8" ht="15.75" customHeight="1">
      <c r="H199" s="109"/>
    </row>
    <row r="200" spans="8:8" ht="15.75" customHeight="1">
      <c r="H200" s="109"/>
    </row>
    <row r="201" spans="8:8" ht="15.75" customHeight="1">
      <c r="H201" s="109"/>
    </row>
    <row r="202" spans="8:8" ht="15.75" customHeight="1">
      <c r="H202" s="109"/>
    </row>
    <row r="203" spans="8:8" ht="15.75" customHeight="1">
      <c r="H203" s="109"/>
    </row>
    <row r="204" spans="8:8" ht="15.75" customHeight="1">
      <c r="H204" s="109"/>
    </row>
    <row r="205" spans="8:8" ht="15.75" customHeight="1">
      <c r="H205" s="109"/>
    </row>
    <row r="206" spans="8:8" ht="15.75" customHeight="1">
      <c r="H206" s="109"/>
    </row>
    <row r="207" spans="8:8" ht="15.75" customHeight="1">
      <c r="H207" s="109"/>
    </row>
    <row r="208" spans="8:8" ht="15.75" customHeight="1">
      <c r="H208" s="109"/>
    </row>
    <row r="209" spans="8:8" ht="15.75" customHeight="1">
      <c r="H209" s="109"/>
    </row>
    <row r="210" spans="8:8" ht="15.75" customHeight="1">
      <c r="H210" s="109"/>
    </row>
    <row r="211" spans="8:8" ht="15.75" customHeight="1">
      <c r="H211" s="109"/>
    </row>
    <row r="212" spans="8:8" ht="15.75" customHeight="1">
      <c r="H212" s="109"/>
    </row>
    <row r="213" spans="8:8" ht="15.75" customHeight="1">
      <c r="H213" s="109"/>
    </row>
    <row r="214" spans="8:8" ht="15.75" customHeight="1">
      <c r="H214" s="109"/>
    </row>
    <row r="215" spans="8:8" ht="15.75" customHeight="1">
      <c r="H215" s="109"/>
    </row>
    <row r="216" spans="8:8" ht="15.75" customHeight="1">
      <c r="H216" s="109"/>
    </row>
    <row r="217" spans="8:8" ht="15.75" customHeight="1">
      <c r="H217" s="109"/>
    </row>
    <row r="218" spans="8:8" ht="15.75" customHeight="1">
      <c r="H218" s="109"/>
    </row>
    <row r="219" spans="8:8" ht="15.75" customHeight="1">
      <c r="H219" s="109"/>
    </row>
    <row r="220" spans="8:8" ht="15.75" customHeight="1">
      <c r="H220" s="109"/>
    </row>
    <row r="221" spans="8:8" ht="15.75" customHeight="1">
      <c r="H221" s="109"/>
    </row>
    <row r="222" spans="8:8" ht="15.75" customHeight="1">
      <c r="H222" s="109"/>
    </row>
    <row r="223" spans="8:8" ht="15.75" customHeight="1">
      <c r="H223" s="109"/>
    </row>
    <row r="224" spans="8:8" ht="15.75" customHeight="1">
      <c r="H224" s="109"/>
    </row>
    <row r="225" spans="8:8" ht="15.75" customHeight="1">
      <c r="H225" s="109"/>
    </row>
    <row r="226" spans="8:8" ht="15.75" customHeight="1">
      <c r="H226" s="109"/>
    </row>
    <row r="227" spans="8:8" ht="15.75" customHeight="1">
      <c r="H227" s="109"/>
    </row>
    <row r="228" spans="8:8" ht="15.75" customHeight="1">
      <c r="H228" s="109"/>
    </row>
    <row r="229" spans="8:8" ht="15.75" customHeight="1">
      <c r="H229" s="109"/>
    </row>
    <row r="230" spans="8:8" ht="15.75" customHeight="1">
      <c r="H230" s="109"/>
    </row>
    <row r="231" spans="8:8" ht="15.75" customHeight="1">
      <c r="H231" s="109"/>
    </row>
    <row r="232" spans="8:8" ht="15.75" customHeight="1">
      <c r="H232" s="109"/>
    </row>
    <row r="233" spans="8:8" ht="15.75" customHeight="1">
      <c r="H233" s="109"/>
    </row>
    <row r="234" spans="8:8" ht="15.75" customHeight="1">
      <c r="H234" s="109"/>
    </row>
    <row r="235" spans="8:8" ht="15.75" customHeight="1">
      <c r="H235" s="109"/>
    </row>
    <row r="236" spans="8:8" ht="15.75" customHeight="1">
      <c r="H236" s="109"/>
    </row>
    <row r="237" spans="8:8" ht="15.75" customHeight="1">
      <c r="H237" s="109"/>
    </row>
    <row r="238" spans="8:8" ht="15.75" customHeight="1">
      <c r="H238" s="109"/>
    </row>
    <row r="239" spans="8:8" ht="15.75" customHeight="1">
      <c r="H239" s="109"/>
    </row>
    <row r="240" spans="8:8" ht="15.75" customHeight="1">
      <c r="H240" s="109"/>
    </row>
    <row r="241" spans="8:8" ht="15.75" customHeight="1">
      <c r="H241" s="109"/>
    </row>
    <row r="242" spans="8:8" ht="15.75" customHeight="1">
      <c r="H242" s="109"/>
    </row>
    <row r="243" spans="8:8" ht="15.75" customHeight="1">
      <c r="H243" s="109"/>
    </row>
    <row r="244" spans="8:8" ht="15.75" customHeight="1">
      <c r="H244" s="109"/>
    </row>
    <row r="245" spans="8:8" ht="15.75" customHeight="1">
      <c r="H245" s="109"/>
    </row>
    <row r="246" spans="8:8" ht="15.75" customHeight="1">
      <c r="H246" s="109"/>
    </row>
    <row r="247" spans="8:8" ht="15.75" customHeight="1">
      <c r="H247" s="109"/>
    </row>
    <row r="248" spans="8:8" ht="15.75" customHeight="1">
      <c r="H248" s="109"/>
    </row>
    <row r="249" spans="8:8" ht="15.75" customHeight="1">
      <c r="H249" s="109"/>
    </row>
    <row r="250" spans="8:8" ht="15.75" customHeight="1">
      <c r="H250" s="109"/>
    </row>
    <row r="251" spans="8:8" ht="15.75" customHeight="1">
      <c r="H251" s="109"/>
    </row>
    <row r="252" spans="8:8" ht="15.75" customHeight="1">
      <c r="H252" s="109"/>
    </row>
    <row r="253" spans="8:8" ht="15.75" customHeight="1">
      <c r="H253" s="109"/>
    </row>
    <row r="254" spans="8:8" ht="15.75" customHeight="1">
      <c r="H254" s="109"/>
    </row>
    <row r="255" spans="8:8" ht="15.75" customHeight="1">
      <c r="H255" s="109"/>
    </row>
    <row r="256" spans="8:8" ht="15.75" customHeight="1">
      <c r="H256" s="109"/>
    </row>
    <row r="257" spans="8:8" ht="15.75" customHeight="1">
      <c r="H257" s="109"/>
    </row>
    <row r="258" spans="8:8" ht="15.75" customHeight="1">
      <c r="H258" s="109"/>
    </row>
    <row r="259" spans="8:8" ht="15.75" customHeight="1">
      <c r="H259" s="109"/>
    </row>
    <row r="260" spans="8:8" ht="15.75" customHeight="1">
      <c r="H260" s="109"/>
    </row>
    <row r="261" spans="8:8" ht="15.75" customHeight="1">
      <c r="H261" s="109"/>
    </row>
    <row r="262" spans="8:8" ht="15.75" customHeight="1">
      <c r="H262" s="109"/>
    </row>
    <row r="263" spans="8:8" ht="15.75" customHeight="1">
      <c r="H263" s="109"/>
    </row>
    <row r="264" spans="8:8" ht="15.75" customHeight="1">
      <c r="H264" s="109"/>
    </row>
    <row r="265" spans="8:8" ht="15.75" customHeight="1">
      <c r="H265" s="109"/>
    </row>
    <row r="266" spans="8:8" ht="15.75" customHeight="1">
      <c r="H266" s="109"/>
    </row>
    <row r="267" spans="8:8" ht="15.75" customHeight="1">
      <c r="H267" s="109"/>
    </row>
    <row r="268" spans="8:8" ht="15.75" customHeight="1">
      <c r="H268" s="109"/>
    </row>
    <row r="269" spans="8:8" ht="15.75" customHeight="1">
      <c r="H269" s="109"/>
    </row>
    <row r="270" spans="8:8" ht="15.75" customHeight="1">
      <c r="H270" s="109"/>
    </row>
    <row r="271" spans="8:8" ht="15.75" customHeight="1">
      <c r="H271" s="109"/>
    </row>
    <row r="272" spans="8:8" ht="15.75" customHeight="1">
      <c r="H272" s="109"/>
    </row>
    <row r="273" spans="8:8" ht="15.75" customHeight="1">
      <c r="H273" s="109"/>
    </row>
    <row r="274" spans="8:8" ht="15.75" customHeight="1">
      <c r="H274" s="109"/>
    </row>
    <row r="275" spans="8:8" ht="15.75" customHeight="1">
      <c r="H275" s="109"/>
    </row>
    <row r="276" spans="8:8" ht="15.75" customHeight="1">
      <c r="H276" s="109"/>
    </row>
    <row r="277" spans="8:8" ht="15.75" customHeight="1">
      <c r="H277" s="109"/>
    </row>
    <row r="278" spans="8:8" ht="15.75" customHeight="1">
      <c r="H278" s="109"/>
    </row>
    <row r="279" spans="8:8" ht="15.75" customHeight="1">
      <c r="H279" s="109"/>
    </row>
    <row r="280" spans="8:8" ht="15.75" customHeight="1">
      <c r="H280" s="109"/>
    </row>
    <row r="281" spans="8:8" ht="15.75" customHeight="1">
      <c r="H281" s="109"/>
    </row>
    <row r="282" spans="8:8" ht="15.75" customHeight="1">
      <c r="H282" s="109"/>
    </row>
    <row r="283" spans="8:8" ht="15.75" customHeight="1">
      <c r="H283" s="109"/>
    </row>
    <row r="284" spans="8:8" ht="15.75" customHeight="1">
      <c r="H284" s="109"/>
    </row>
    <row r="285" spans="8:8" ht="15.75" customHeight="1">
      <c r="H285" s="109"/>
    </row>
    <row r="286" spans="8:8" ht="15.75" customHeight="1">
      <c r="H286" s="109"/>
    </row>
    <row r="287" spans="8:8" ht="15.75" customHeight="1">
      <c r="H287" s="109"/>
    </row>
    <row r="288" spans="8:8" ht="15.75" customHeight="1">
      <c r="H288" s="109"/>
    </row>
    <row r="289" spans="8:8" ht="15.75" customHeight="1">
      <c r="H289" s="109"/>
    </row>
    <row r="290" spans="8:8" ht="15.75" customHeight="1">
      <c r="H290" s="109"/>
    </row>
    <row r="291" spans="8:8" ht="15.75" customHeight="1">
      <c r="H291" s="109"/>
    </row>
    <row r="292" spans="8:8" ht="15.75" customHeight="1">
      <c r="H292" s="109"/>
    </row>
    <row r="293" spans="8:8" ht="15.75" customHeight="1">
      <c r="H293" s="109"/>
    </row>
    <row r="294" spans="8:8" ht="15.75" customHeight="1">
      <c r="H294" s="109"/>
    </row>
    <row r="295" spans="8:8" ht="15.75" customHeight="1">
      <c r="H295" s="109"/>
    </row>
    <row r="296" spans="8:8" ht="15.75" customHeight="1">
      <c r="H296" s="109"/>
    </row>
    <row r="297" spans="8:8" ht="15.75" customHeight="1">
      <c r="H297" s="109"/>
    </row>
    <row r="298" spans="8:8" ht="15.75" customHeight="1">
      <c r="H298" s="109"/>
    </row>
    <row r="299" spans="8:8" ht="15.75" customHeight="1">
      <c r="H299" s="109"/>
    </row>
    <row r="300" spans="8:8" ht="15.75" customHeight="1">
      <c r="H300" s="109"/>
    </row>
    <row r="301" spans="8:8" ht="15.75" customHeight="1">
      <c r="H301" s="109"/>
    </row>
    <row r="302" spans="8:8" ht="15.75" customHeight="1">
      <c r="H302" s="109"/>
    </row>
    <row r="303" spans="8:8" ht="15.75" customHeight="1">
      <c r="H303" s="109"/>
    </row>
    <row r="304" spans="8:8" ht="15.75" customHeight="1">
      <c r="H304" s="109"/>
    </row>
    <row r="305" spans="8:8" ht="15.75" customHeight="1">
      <c r="H305" s="109"/>
    </row>
    <row r="306" spans="8:8" ht="15.75" customHeight="1">
      <c r="H306" s="109"/>
    </row>
    <row r="307" spans="8:8" ht="15.75" customHeight="1">
      <c r="H307" s="109"/>
    </row>
    <row r="308" spans="8:8" ht="15.75" customHeight="1">
      <c r="H308" s="109"/>
    </row>
    <row r="309" spans="8:8" ht="15.75" customHeight="1">
      <c r="H309" s="109"/>
    </row>
    <row r="310" spans="8:8" ht="15.75" customHeight="1">
      <c r="H310" s="109"/>
    </row>
    <row r="311" spans="8:8" ht="15.75" customHeight="1">
      <c r="H311" s="109"/>
    </row>
    <row r="312" spans="8:8" ht="15.75" customHeight="1">
      <c r="H312" s="109"/>
    </row>
    <row r="313" spans="8:8" ht="15.75" customHeight="1">
      <c r="H313" s="109"/>
    </row>
    <row r="314" spans="8:8" ht="15.75" customHeight="1">
      <c r="H314" s="109"/>
    </row>
    <row r="315" spans="8:8" ht="15.75" customHeight="1">
      <c r="H315" s="109"/>
    </row>
    <row r="316" spans="8:8" ht="15.75" customHeight="1">
      <c r="H316" s="109"/>
    </row>
    <row r="317" spans="8:8" ht="15.75" customHeight="1">
      <c r="H317" s="109"/>
    </row>
    <row r="318" spans="8:8" ht="15.75" customHeight="1">
      <c r="H318" s="109"/>
    </row>
    <row r="319" spans="8:8" ht="15.75" customHeight="1">
      <c r="H319" s="109"/>
    </row>
    <row r="320" spans="8:8" ht="15.75" customHeight="1">
      <c r="H320" s="109"/>
    </row>
    <row r="321" spans="8:8" ht="15.75" customHeight="1">
      <c r="H321" s="109"/>
    </row>
    <row r="322" spans="8:8" ht="15.75" customHeight="1">
      <c r="H322" s="109"/>
    </row>
    <row r="323" spans="8:8" ht="15.75" customHeight="1">
      <c r="H323" s="109"/>
    </row>
    <row r="324" spans="8:8" ht="15.75" customHeight="1">
      <c r="H324" s="109"/>
    </row>
    <row r="325" spans="8:8" ht="15.75" customHeight="1">
      <c r="H325" s="109"/>
    </row>
    <row r="326" spans="8:8" ht="15.75" customHeight="1">
      <c r="H326" s="109"/>
    </row>
    <row r="327" spans="8:8" ht="15.75" customHeight="1">
      <c r="H327" s="109"/>
    </row>
    <row r="328" spans="8:8" ht="15.75" customHeight="1">
      <c r="H328" s="109"/>
    </row>
    <row r="329" spans="8:8" ht="15.75" customHeight="1">
      <c r="H329" s="109"/>
    </row>
    <row r="330" spans="8:8" ht="15.75" customHeight="1">
      <c r="H330" s="109"/>
    </row>
    <row r="331" spans="8:8" ht="15.75" customHeight="1">
      <c r="H331" s="109"/>
    </row>
    <row r="332" spans="8:8" ht="15.75" customHeight="1">
      <c r="H332" s="109"/>
    </row>
    <row r="333" spans="8:8" ht="15.75" customHeight="1">
      <c r="H333" s="109"/>
    </row>
    <row r="334" spans="8:8" ht="15.75" customHeight="1">
      <c r="H334" s="109"/>
    </row>
    <row r="335" spans="8:8" ht="15.75" customHeight="1">
      <c r="H335" s="109"/>
    </row>
    <row r="336" spans="8:8" ht="15.75" customHeight="1">
      <c r="H336" s="109"/>
    </row>
    <row r="337" spans="8:8" ht="15.75" customHeight="1">
      <c r="H337" s="109"/>
    </row>
    <row r="338" spans="8:8" ht="15.75" customHeight="1">
      <c r="H338" s="109"/>
    </row>
    <row r="339" spans="8:8" ht="15.75" customHeight="1">
      <c r="H339" s="109"/>
    </row>
    <row r="340" spans="8:8" ht="15.75" customHeight="1">
      <c r="H340" s="109"/>
    </row>
    <row r="341" spans="8:8" ht="15.75" customHeight="1">
      <c r="H341" s="109"/>
    </row>
    <row r="342" spans="8:8" ht="15.75" customHeight="1">
      <c r="H342" s="109"/>
    </row>
    <row r="343" spans="8:8" ht="15.75" customHeight="1">
      <c r="H343" s="109"/>
    </row>
    <row r="344" spans="8:8" ht="15.75" customHeight="1">
      <c r="H344" s="109"/>
    </row>
    <row r="345" spans="8:8" ht="15.75" customHeight="1">
      <c r="H345" s="109"/>
    </row>
    <row r="346" spans="8:8" ht="15.75" customHeight="1">
      <c r="H346" s="109"/>
    </row>
    <row r="347" spans="8:8" ht="15.75" customHeight="1">
      <c r="H347" s="109"/>
    </row>
    <row r="348" spans="8:8" ht="15.75" customHeight="1">
      <c r="H348" s="109"/>
    </row>
    <row r="349" spans="8:8" ht="15.75" customHeight="1">
      <c r="H349" s="109"/>
    </row>
    <row r="350" spans="8:8" ht="15.75" customHeight="1">
      <c r="H350" s="109"/>
    </row>
    <row r="351" spans="8:8" ht="15.75" customHeight="1">
      <c r="H351" s="109"/>
    </row>
    <row r="352" spans="8:8" ht="15.75" customHeight="1">
      <c r="H352" s="109"/>
    </row>
    <row r="353" spans="8:8" ht="15.75" customHeight="1">
      <c r="H353" s="109"/>
    </row>
    <row r="354" spans="8:8" ht="15.75" customHeight="1">
      <c r="H354" s="109"/>
    </row>
    <row r="355" spans="8:8" ht="15.75" customHeight="1">
      <c r="H355" s="109"/>
    </row>
    <row r="356" spans="8:8" ht="15.75" customHeight="1">
      <c r="H356" s="109"/>
    </row>
    <row r="357" spans="8:8" ht="15.75" customHeight="1">
      <c r="H357" s="109"/>
    </row>
    <row r="358" spans="8:8" ht="15.75" customHeight="1">
      <c r="H358" s="109"/>
    </row>
    <row r="359" spans="8:8" ht="15.75" customHeight="1">
      <c r="H359" s="109"/>
    </row>
    <row r="360" spans="8:8" ht="15.75" customHeight="1">
      <c r="H360" s="109"/>
    </row>
    <row r="361" spans="8:8" ht="15.75" customHeight="1">
      <c r="H361" s="109"/>
    </row>
    <row r="362" spans="8:8" ht="15.75" customHeight="1">
      <c r="H362" s="109"/>
    </row>
    <row r="363" spans="8:8" ht="15.75" customHeight="1">
      <c r="H363" s="109"/>
    </row>
    <row r="364" spans="8:8" ht="15.75" customHeight="1">
      <c r="H364" s="109"/>
    </row>
    <row r="365" spans="8:8" ht="15.75" customHeight="1">
      <c r="H365" s="109"/>
    </row>
    <row r="366" spans="8:8" ht="15.75" customHeight="1">
      <c r="H366" s="109"/>
    </row>
    <row r="367" spans="8:8" ht="15.75" customHeight="1">
      <c r="H367" s="109"/>
    </row>
    <row r="368" spans="8:8" ht="15.75" customHeight="1">
      <c r="H368" s="109"/>
    </row>
    <row r="369" spans="8:8" ht="15.75" customHeight="1">
      <c r="H369" s="109"/>
    </row>
    <row r="370" spans="8:8" ht="15.75" customHeight="1">
      <c r="H370" s="109"/>
    </row>
    <row r="371" spans="8:8" ht="15.75" customHeight="1">
      <c r="H371" s="109"/>
    </row>
    <row r="372" spans="8:8" ht="15.75" customHeight="1">
      <c r="H372" s="109"/>
    </row>
    <row r="373" spans="8:8" ht="15.75" customHeight="1">
      <c r="H373" s="109"/>
    </row>
    <row r="374" spans="8:8" ht="15.75" customHeight="1">
      <c r="H374" s="109"/>
    </row>
    <row r="375" spans="8:8" ht="15.75" customHeight="1">
      <c r="H375" s="109"/>
    </row>
    <row r="376" spans="8:8" ht="15.75" customHeight="1">
      <c r="H376" s="109"/>
    </row>
    <row r="377" spans="8:8" ht="15.75" customHeight="1">
      <c r="H377" s="109"/>
    </row>
    <row r="378" spans="8:8" ht="15.75" customHeight="1">
      <c r="H378" s="109"/>
    </row>
    <row r="379" spans="8:8" ht="15.75" customHeight="1">
      <c r="H379" s="109"/>
    </row>
    <row r="380" spans="8:8" ht="15.75" customHeight="1">
      <c r="H380" s="109"/>
    </row>
    <row r="381" spans="8:8" ht="15.75" customHeight="1">
      <c r="H381" s="109"/>
    </row>
    <row r="382" spans="8:8" ht="15.75" customHeight="1">
      <c r="H382" s="109"/>
    </row>
    <row r="383" spans="8:8" ht="15.75" customHeight="1">
      <c r="H383" s="109"/>
    </row>
    <row r="384" spans="8:8" ht="15.75" customHeight="1">
      <c r="H384" s="109"/>
    </row>
    <row r="385" spans="8:8" ht="15.75" customHeight="1">
      <c r="H385" s="109"/>
    </row>
    <row r="386" spans="8:8" ht="15.75" customHeight="1">
      <c r="H386" s="109"/>
    </row>
    <row r="387" spans="8:8" ht="15.75" customHeight="1">
      <c r="H387" s="109"/>
    </row>
    <row r="388" spans="8:8" ht="15.75" customHeight="1">
      <c r="H388" s="109"/>
    </row>
    <row r="389" spans="8:8" ht="15.75" customHeight="1">
      <c r="H389" s="109"/>
    </row>
    <row r="390" spans="8:8" ht="15.75" customHeight="1">
      <c r="H390" s="109"/>
    </row>
    <row r="391" spans="8:8" ht="15.75" customHeight="1">
      <c r="H391" s="109"/>
    </row>
    <row r="392" spans="8:8" ht="15.75" customHeight="1">
      <c r="H392" s="109"/>
    </row>
    <row r="393" spans="8:8" ht="15.75" customHeight="1">
      <c r="H393" s="109"/>
    </row>
    <row r="394" spans="8:8" ht="15.75" customHeight="1">
      <c r="H394" s="109"/>
    </row>
    <row r="395" spans="8:8" ht="15.75" customHeight="1">
      <c r="H395" s="109"/>
    </row>
    <row r="396" spans="8:8" ht="15.75" customHeight="1">
      <c r="H396" s="109"/>
    </row>
    <row r="397" spans="8:8" ht="15.75" customHeight="1">
      <c r="H397" s="109"/>
    </row>
    <row r="398" spans="8:8" ht="15.75" customHeight="1">
      <c r="H398" s="109"/>
    </row>
    <row r="399" spans="8:8" ht="15.75" customHeight="1">
      <c r="H399" s="109"/>
    </row>
    <row r="400" spans="8:8" ht="15.75" customHeight="1">
      <c r="H400" s="109"/>
    </row>
    <row r="401" spans="8:8" ht="15.75" customHeight="1">
      <c r="H401" s="109"/>
    </row>
    <row r="402" spans="8:8" ht="15.75" customHeight="1">
      <c r="H402" s="109"/>
    </row>
    <row r="403" spans="8:8" ht="15.75" customHeight="1">
      <c r="H403" s="109"/>
    </row>
    <row r="404" spans="8:8" ht="15.75" customHeight="1">
      <c r="H404" s="109"/>
    </row>
    <row r="405" spans="8:8" ht="15.75" customHeight="1">
      <c r="H405" s="109"/>
    </row>
    <row r="406" spans="8:8" ht="15.75" customHeight="1">
      <c r="H406" s="109"/>
    </row>
    <row r="407" spans="8:8" ht="15.75" customHeight="1">
      <c r="H407" s="109"/>
    </row>
    <row r="408" spans="8:8" ht="15.75" customHeight="1">
      <c r="H408" s="109"/>
    </row>
    <row r="409" spans="8:8" ht="15.75" customHeight="1">
      <c r="H409" s="109"/>
    </row>
    <row r="410" spans="8:8" ht="15.75" customHeight="1">
      <c r="H410" s="109"/>
    </row>
    <row r="411" spans="8:8" ht="15.75" customHeight="1">
      <c r="H411" s="109"/>
    </row>
    <row r="412" spans="8:8" ht="15.75" customHeight="1">
      <c r="H412" s="109"/>
    </row>
    <row r="413" spans="8:8" ht="15.75" customHeight="1">
      <c r="H413" s="109"/>
    </row>
    <row r="414" spans="8:8" ht="15.75" customHeight="1">
      <c r="H414" s="109"/>
    </row>
    <row r="415" spans="8:8" ht="15.75" customHeight="1">
      <c r="H415" s="109"/>
    </row>
    <row r="416" spans="8:8" ht="15.75" customHeight="1">
      <c r="H416" s="109"/>
    </row>
    <row r="417" spans="8:8" ht="15.75" customHeight="1">
      <c r="H417" s="109"/>
    </row>
    <row r="418" spans="8:8" ht="15.75" customHeight="1">
      <c r="H418" s="109"/>
    </row>
    <row r="419" spans="8:8" ht="15.75" customHeight="1">
      <c r="H419" s="109"/>
    </row>
    <row r="420" spans="8:8" ht="15.75" customHeight="1">
      <c r="H420" s="109"/>
    </row>
    <row r="421" spans="8:8" ht="15.75" customHeight="1">
      <c r="H421" s="109"/>
    </row>
    <row r="422" spans="8:8" ht="15.75" customHeight="1">
      <c r="H422" s="109"/>
    </row>
    <row r="423" spans="8:8" ht="15.75" customHeight="1">
      <c r="H423" s="109"/>
    </row>
    <row r="424" spans="8:8" ht="15.75" customHeight="1">
      <c r="H424" s="109"/>
    </row>
    <row r="425" spans="8:8" ht="15.75" customHeight="1">
      <c r="H425" s="109"/>
    </row>
    <row r="426" spans="8:8" ht="15.75" customHeight="1">
      <c r="H426" s="109"/>
    </row>
    <row r="427" spans="8:8" ht="15.75" customHeight="1">
      <c r="H427" s="109"/>
    </row>
    <row r="428" spans="8:8" ht="15.75" customHeight="1">
      <c r="H428" s="109"/>
    </row>
    <row r="429" spans="8:8" ht="15.75" customHeight="1">
      <c r="H429" s="109"/>
    </row>
    <row r="430" spans="8:8" ht="15.75" customHeight="1">
      <c r="H430" s="109"/>
    </row>
    <row r="431" spans="8:8" ht="15.75" customHeight="1">
      <c r="H431" s="109"/>
    </row>
    <row r="432" spans="8:8" ht="15.75" customHeight="1">
      <c r="H432" s="109"/>
    </row>
    <row r="433" spans="8:8" ht="15.75" customHeight="1">
      <c r="H433" s="109"/>
    </row>
    <row r="434" spans="8:8" ht="15.75" customHeight="1">
      <c r="H434" s="109"/>
    </row>
    <row r="435" spans="8:8" ht="15.75" customHeight="1">
      <c r="H435" s="109"/>
    </row>
    <row r="436" spans="8:8" ht="15.75" customHeight="1">
      <c r="H436" s="109"/>
    </row>
    <row r="437" spans="8:8" ht="15.75" customHeight="1">
      <c r="H437" s="109"/>
    </row>
    <row r="438" spans="8:8" ht="15.75" customHeight="1">
      <c r="H438" s="109"/>
    </row>
    <row r="439" spans="8:8" ht="15.75" customHeight="1">
      <c r="H439" s="109"/>
    </row>
    <row r="440" spans="8:8" ht="15.75" customHeight="1">
      <c r="H440" s="109"/>
    </row>
    <row r="441" spans="8:8" ht="15.75" customHeight="1">
      <c r="H441" s="109"/>
    </row>
    <row r="442" spans="8:8" ht="15.75" customHeight="1">
      <c r="H442" s="109"/>
    </row>
    <row r="443" spans="8:8" ht="15.75" customHeight="1">
      <c r="H443" s="109"/>
    </row>
    <row r="444" spans="8:8" ht="15.75" customHeight="1">
      <c r="H444" s="109"/>
    </row>
    <row r="445" spans="8:8" ht="15.75" customHeight="1">
      <c r="H445" s="109"/>
    </row>
    <row r="446" spans="8:8" ht="15.75" customHeight="1">
      <c r="H446" s="109"/>
    </row>
    <row r="447" spans="8:8" ht="15.75" customHeight="1">
      <c r="H447" s="109"/>
    </row>
    <row r="448" spans="8:8" ht="15.75" customHeight="1">
      <c r="H448" s="109"/>
    </row>
    <row r="449" spans="8:8" ht="15.75" customHeight="1">
      <c r="H449" s="109"/>
    </row>
    <row r="450" spans="8:8" ht="15.75" customHeight="1">
      <c r="H450" s="109"/>
    </row>
    <row r="451" spans="8:8" ht="15.75" customHeight="1">
      <c r="H451" s="109"/>
    </row>
    <row r="452" spans="8:8" ht="15.75" customHeight="1">
      <c r="H452" s="109"/>
    </row>
    <row r="453" spans="8:8" ht="15.75" customHeight="1">
      <c r="H453" s="109"/>
    </row>
    <row r="454" spans="8:8" ht="15.75" customHeight="1">
      <c r="H454" s="109"/>
    </row>
    <row r="455" spans="8:8" ht="15.75" customHeight="1">
      <c r="H455" s="109"/>
    </row>
    <row r="456" spans="8:8" ht="15.75" customHeight="1">
      <c r="H456" s="109"/>
    </row>
    <row r="457" spans="8:8" ht="15.75" customHeight="1">
      <c r="H457" s="109"/>
    </row>
    <row r="458" spans="8:8" ht="15.75" customHeight="1">
      <c r="H458" s="109"/>
    </row>
    <row r="459" spans="8:8" ht="15.75" customHeight="1">
      <c r="H459" s="109"/>
    </row>
    <row r="460" spans="8:8" ht="15.75" customHeight="1">
      <c r="H460" s="109"/>
    </row>
    <row r="461" spans="8:8" ht="15.75" customHeight="1">
      <c r="H461" s="109"/>
    </row>
    <row r="462" spans="8:8" ht="15.75" customHeight="1">
      <c r="H462" s="109"/>
    </row>
    <row r="463" spans="8:8" ht="15.75" customHeight="1">
      <c r="H463" s="109"/>
    </row>
    <row r="464" spans="8:8" ht="15.75" customHeight="1">
      <c r="H464" s="109"/>
    </row>
    <row r="465" spans="8:8" ht="15.75" customHeight="1">
      <c r="H465" s="109"/>
    </row>
    <row r="466" spans="8:8" ht="15.75" customHeight="1">
      <c r="H466" s="109"/>
    </row>
    <row r="467" spans="8:8" ht="15.75" customHeight="1">
      <c r="H467" s="109"/>
    </row>
    <row r="468" spans="8:8" ht="15.75" customHeight="1">
      <c r="H468" s="109"/>
    </row>
    <row r="469" spans="8:8" ht="15.75" customHeight="1">
      <c r="H469" s="109"/>
    </row>
    <row r="470" spans="8:8" ht="15.75" customHeight="1">
      <c r="H470" s="109"/>
    </row>
    <row r="471" spans="8:8" ht="15.75" customHeight="1">
      <c r="H471" s="109"/>
    </row>
    <row r="472" spans="8:8" ht="15.75" customHeight="1">
      <c r="H472" s="109"/>
    </row>
    <row r="473" spans="8:8" ht="15.75" customHeight="1">
      <c r="H473" s="109"/>
    </row>
    <row r="474" spans="8:8" ht="15.75" customHeight="1">
      <c r="H474" s="109"/>
    </row>
    <row r="475" spans="8:8" ht="15.75" customHeight="1">
      <c r="H475" s="109"/>
    </row>
    <row r="476" spans="8:8" ht="15.75" customHeight="1">
      <c r="H476" s="109"/>
    </row>
    <row r="477" spans="8:8" ht="15.75" customHeight="1">
      <c r="H477" s="109"/>
    </row>
    <row r="478" spans="8:8" ht="15.75" customHeight="1">
      <c r="H478" s="109"/>
    </row>
    <row r="479" spans="8:8" ht="15.75" customHeight="1">
      <c r="H479" s="109"/>
    </row>
    <row r="480" spans="8:8" ht="15.75" customHeight="1">
      <c r="H480" s="109"/>
    </row>
    <row r="481" spans="8:8" ht="15.75" customHeight="1">
      <c r="H481" s="109"/>
    </row>
    <row r="482" spans="8:8" ht="15.75" customHeight="1">
      <c r="H482" s="109"/>
    </row>
    <row r="483" spans="8:8" ht="15.75" customHeight="1">
      <c r="H483" s="109"/>
    </row>
    <row r="484" spans="8:8" ht="15.75" customHeight="1">
      <c r="H484" s="109"/>
    </row>
    <row r="485" spans="8:8" ht="15.75" customHeight="1">
      <c r="H485" s="109"/>
    </row>
    <row r="486" spans="8:8" ht="15.75" customHeight="1">
      <c r="H486" s="109"/>
    </row>
    <row r="487" spans="8:8" ht="15.75" customHeight="1">
      <c r="H487" s="109"/>
    </row>
    <row r="488" spans="8:8" ht="15.75" customHeight="1">
      <c r="H488" s="109"/>
    </row>
    <row r="489" spans="8:8" ht="15.75" customHeight="1">
      <c r="H489" s="109"/>
    </row>
    <row r="490" spans="8:8" ht="15.75" customHeight="1">
      <c r="H490" s="109"/>
    </row>
    <row r="491" spans="8:8" ht="15.75" customHeight="1">
      <c r="H491" s="109"/>
    </row>
    <row r="492" spans="8:8" ht="15.75" customHeight="1">
      <c r="H492" s="109"/>
    </row>
    <row r="493" spans="8:8" ht="15.75" customHeight="1">
      <c r="H493" s="109"/>
    </row>
    <row r="494" spans="8:8" ht="15.75" customHeight="1">
      <c r="H494" s="109"/>
    </row>
    <row r="495" spans="8:8" ht="15.75" customHeight="1">
      <c r="H495" s="109"/>
    </row>
    <row r="496" spans="8:8" ht="15.75" customHeight="1">
      <c r="H496" s="109"/>
    </row>
    <row r="497" spans="8:8" ht="15.75" customHeight="1">
      <c r="H497" s="109"/>
    </row>
    <row r="498" spans="8:8" ht="15.75" customHeight="1">
      <c r="H498" s="109"/>
    </row>
    <row r="499" spans="8:8" ht="15.75" customHeight="1">
      <c r="H499" s="109"/>
    </row>
    <row r="500" spans="8:8" ht="15.75" customHeight="1">
      <c r="H500" s="109"/>
    </row>
    <row r="501" spans="8:8" ht="15.75" customHeight="1">
      <c r="H501" s="109"/>
    </row>
    <row r="502" spans="8:8" ht="15.75" customHeight="1">
      <c r="H502" s="109"/>
    </row>
    <row r="503" spans="8:8" ht="15.75" customHeight="1">
      <c r="H503" s="109"/>
    </row>
    <row r="504" spans="8:8" ht="15.75" customHeight="1">
      <c r="H504" s="109"/>
    </row>
    <row r="505" spans="8:8" ht="15.75" customHeight="1">
      <c r="H505" s="109"/>
    </row>
    <row r="506" spans="8:8" ht="15.75" customHeight="1">
      <c r="H506" s="109"/>
    </row>
    <row r="507" spans="8:8" ht="15.75" customHeight="1">
      <c r="H507" s="109"/>
    </row>
    <row r="508" spans="8:8" ht="15.75" customHeight="1">
      <c r="H508" s="109"/>
    </row>
    <row r="509" spans="8:8" ht="15.75" customHeight="1">
      <c r="H509" s="109"/>
    </row>
    <row r="510" spans="8:8" ht="15.75" customHeight="1">
      <c r="H510" s="109"/>
    </row>
    <row r="511" spans="8:8" ht="15.75" customHeight="1">
      <c r="H511" s="109"/>
    </row>
    <row r="512" spans="8:8" ht="15.75" customHeight="1">
      <c r="H512" s="109"/>
    </row>
    <row r="513" spans="8:8" ht="15.75" customHeight="1">
      <c r="H513" s="109"/>
    </row>
    <row r="514" spans="8:8" ht="15.75" customHeight="1">
      <c r="H514" s="109"/>
    </row>
    <row r="515" spans="8:8" ht="15.75" customHeight="1">
      <c r="H515" s="109"/>
    </row>
    <row r="516" spans="8:8" ht="15.75" customHeight="1">
      <c r="H516" s="109"/>
    </row>
    <row r="517" spans="8:8" ht="15.75" customHeight="1">
      <c r="H517" s="109"/>
    </row>
    <row r="518" spans="8:8" ht="15.75" customHeight="1">
      <c r="H518" s="109"/>
    </row>
    <row r="519" spans="8:8" ht="15.75" customHeight="1">
      <c r="H519" s="109"/>
    </row>
    <row r="520" spans="8:8" ht="15.75" customHeight="1">
      <c r="H520" s="109"/>
    </row>
    <row r="521" spans="8:8" ht="15.75" customHeight="1">
      <c r="H521" s="109"/>
    </row>
    <row r="522" spans="8:8" ht="15.75" customHeight="1">
      <c r="H522" s="109"/>
    </row>
    <row r="523" spans="8:8" ht="15.75" customHeight="1">
      <c r="H523" s="109"/>
    </row>
    <row r="524" spans="8:8" ht="15.75" customHeight="1">
      <c r="H524" s="109"/>
    </row>
    <row r="525" spans="8:8" ht="15.75" customHeight="1">
      <c r="H525" s="109"/>
    </row>
    <row r="526" spans="8:8" ht="15.75" customHeight="1">
      <c r="H526" s="109"/>
    </row>
    <row r="527" spans="8:8" ht="15.75" customHeight="1">
      <c r="H527" s="109"/>
    </row>
    <row r="528" spans="8:8" ht="15.75" customHeight="1">
      <c r="H528" s="109"/>
    </row>
    <row r="529" spans="8:8" ht="15.75" customHeight="1">
      <c r="H529" s="109"/>
    </row>
    <row r="530" spans="8:8" ht="15.75" customHeight="1">
      <c r="H530" s="109"/>
    </row>
    <row r="531" spans="8:8" ht="15.75" customHeight="1">
      <c r="H531" s="109"/>
    </row>
    <row r="532" spans="8:8" ht="15.75" customHeight="1">
      <c r="H532" s="109"/>
    </row>
    <row r="533" spans="8:8" ht="15.75" customHeight="1">
      <c r="H533" s="109"/>
    </row>
    <row r="534" spans="8:8" ht="15.75" customHeight="1">
      <c r="H534" s="109"/>
    </row>
    <row r="535" spans="8:8" ht="15.75" customHeight="1">
      <c r="H535" s="109"/>
    </row>
    <row r="536" spans="8:8" ht="15.75" customHeight="1">
      <c r="H536" s="109"/>
    </row>
    <row r="537" spans="8:8" ht="15.75" customHeight="1">
      <c r="H537" s="109"/>
    </row>
    <row r="538" spans="8:8" ht="15.75" customHeight="1">
      <c r="H538" s="109"/>
    </row>
    <row r="539" spans="8:8" ht="15.75" customHeight="1">
      <c r="H539" s="109"/>
    </row>
    <row r="540" spans="8:8" ht="15.75" customHeight="1">
      <c r="H540" s="109"/>
    </row>
    <row r="541" spans="8:8" ht="15.75" customHeight="1">
      <c r="H541" s="109"/>
    </row>
    <row r="542" spans="8:8" ht="15.75" customHeight="1">
      <c r="H542" s="109"/>
    </row>
    <row r="543" spans="8:8" ht="15.75" customHeight="1">
      <c r="H543" s="109"/>
    </row>
    <row r="544" spans="8:8" ht="15.75" customHeight="1">
      <c r="H544" s="109"/>
    </row>
    <row r="545" spans="8:8" ht="15.75" customHeight="1">
      <c r="H545" s="109"/>
    </row>
    <row r="546" spans="8:8" ht="15.75" customHeight="1">
      <c r="H546" s="109"/>
    </row>
    <row r="547" spans="8:8" ht="15.75" customHeight="1">
      <c r="H547" s="109"/>
    </row>
    <row r="548" spans="8:8" ht="15.75" customHeight="1">
      <c r="H548" s="109"/>
    </row>
    <row r="549" spans="8:8" ht="15.75" customHeight="1">
      <c r="H549" s="109"/>
    </row>
    <row r="550" spans="8:8" ht="15.75" customHeight="1">
      <c r="H550" s="109"/>
    </row>
    <row r="551" spans="8:8" ht="15.75" customHeight="1">
      <c r="H551" s="109"/>
    </row>
    <row r="552" spans="8:8" ht="15.75" customHeight="1">
      <c r="H552" s="109"/>
    </row>
    <row r="553" spans="8:8" ht="15.75" customHeight="1">
      <c r="H553" s="109"/>
    </row>
    <row r="554" spans="8:8" ht="15.75" customHeight="1">
      <c r="H554" s="109"/>
    </row>
    <row r="555" spans="8:8" ht="15.75" customHeight="1">
      <c r="H555" s="109"/>
    </row>
    <row r="556" spans="8:8" ht="15.75" customHeight="1">
      <c r="H556" s="109"/>
    </row>
    <row r="557" spans="8:8" ht="15.75" customHeight="1">
      <c r="H557" s="109"/>
    </row>
    <row r="558" spans="8:8" ht="15.75" customHeight="1">
      <c r="H558" s="109"/>
    </row>
    <row r="559" spans="8:8" ht="15.75" customHeight="1">
      <c r="H559" s="109"/>
    </row>
    <row r="560" spans="8:8" ht="15.75" customHeight="1">
      <c r="H560" s="109"/>
    </row>
    <row r="561" spans="8:8" ht="15.75" customHeight="1">
      <c r="H561" s="109"/>
    </row>
    <row r="562" spans="8:8" ht="15.75" customHeight="1">
      <c r="H562" s="109"/>
    </row>
    <row r="563" spans="8:8" ht="15.75" customHeight="1">
      <c r="H563" s="109"/>
    </row>
    <row r="564" spans="8:8" ht="15.75" customHeight="1">
      <c r="H564" s="109"/>
    </row>
    <row r="565" spans="8:8" ht="15.75" customHeight="1">
      <c r="H565" s="109"/>
    </row>
    <row r="566" spans="8:8" ht="15.75" customHeight="1">
      <c r="H566" s="109"/>
    </row>
    <row r="567" spans="8:8" ht="15.75" customHeight="1">
      <c r="H567" s="109"/>
    </row>
    <row r="568" spans="8:8" ht="15.75" customHeight="1">
      <c r="H568" s="109"/>
    </row>
    <row r="569" spans="8:8" ht="15.75" customHeight="1">
      <c r="H569" s="109"/>
    </row>
    <row r="570" spans="8:8" ht="15.75" customHeight="1">
      <c r="H570" s="109"/>
    </row>
    <row r="571" spans="8:8" ht="15.75" customHeight="1">
      <c r="H571" s="109"/>
    </row>
    <row r="572" spans="8:8" ht="15.75" customHeight="1">
      <c r="H572" s="109"/>
    </row>
    <row r="573" spans="8:8" ht="15.75" customHeight="1">
      <c r="H573" s="109"/>
    </row>
    <row r="574" spans="8:8" ht="15.75" customHeight="1">
      <c r="H574" s="109"/>
    </row>
    <row r="575" spans="8:8" ht="15.75" customHeight="1">
      <c r="H575" s="109"/>
    </row>
    <row r="576" spans="8:8" ht="15.75" customHeight="1">
      <c r="H576" s="109"/>
    </row>
    <row r="577" spans="8:8" ht="15.75" customHeight="1">
      <c r="H577" s="109"/>
    </row>
    <row r="578" spans="8:8" ht="15.75" customHeight="1">
      <c r="H578" s="109"/>
    </row>
    <row r="579" spans="8:8" ht="15.75" customHeight="1">
      <c r="H579" s="109"/>
    </row>
    <row r="580" spans="8:8" ht="15.75" customHeight="1">
      <c r="H580" s="109"/>
    </row>
    <row r="581" spans="8:8" ht="15.75" customHeight="1">
      <c r="H581" s="109"/>
    </row>
    <row r="582" spans="8:8" ht="15.75" customHeight="1">
      <c r="H582" s="109"/>
    </row>
    <row r="583" spans="8:8" ht="15.75" customHeight="1">
      <c r="H583" s="109"/>
    </row>
    <row r="584" spans="8:8" ht="15.75" customHeight="1">
      <c r="H584" s="109"/>
    </row>
    <row r="585" spans="8:8" ht="15.75" customHeight="1">
      <c r="H585" s="109"/>
    </row>
    <row r="586" spans="8:8" ht="15.75" customHeight="1">
      <c r="H586" s="109"/>
    </row>
    <row r="587" spans="8:8" ht="15.75" customHeight="1">
      <c r="H587" s="109"/>
    </row>
    <row r="588" spans="8:8" ht="15.75" customHeight="1">
      <c r="H588" s="109"/>
    </row>
    <row r="589" spans="8:8" ht="15.75" customHeight="1">
      <c r="H589" s="109"/>
    </row>
    <row r="590" spans="8:8" ht="15.75" customHeight="1">
      <c r="H590" s="109"/>
    </row>
    <row r="591" spans="8:8" ht="15.75" customHeight="1">
      <c r="H591" s="109"/>
    </row>
    <row r="592" spans="8:8" ht="15.75" customHeight="1">
      <c r="H592" s="109"/>
    </row>
    <row r="593" spans="8:8" ht="15.75" customHeight="1">
      <c r="H593" s="109"/>
    </row>
    <row r="594" spans="8:8" ht="15.75" customHeight="1">
      <c r="H594" s="109"/>
    </row>
    <row r="595" spans="8:8" ht="15.75" customHeight="1">
      <c r="H595" s="109"/>
    </row>
    <row r="596" spans="8:8" ht="15.75" customHeight="1">
      <c r="H596" s="109"/>
    </row>
    <row r="597" spans="8:8" ht="15.75" customHeight="1">
      <c r="H597" s="109"/>
    </row>
    <row r="598" spans="8:8" ht="15.75" customHeight="1">
      <c r="H598" s="109"/>
    </row>
    <row r="599" spans="8:8" ht="15.75" customHeight="1">
      <c r="H599" s="109"/>
    </row>
    <row r="600" spans="8:8" ht="15.75" customHeight="1">
      <c r="H600" s="109"/>
    </row>
    <row r="601" spans="8:8" ht="15.75" customHeight="1">
      <c r="H601" s="109"/>
    </row>
    <row r="602" spans="8:8" ht="15.75" customHeight="1">
      <c r="H602" s="109"/>
    </row>
    <row r="603" spans="8:8" ht="15.75" customHeight="1">
      <c r="H603" s="109"/>
    </row>
    <row r="604" spans="8:8" ht="15.75" customHeight="1">
      <c r="H604" s="109"/>
    </row>
    <row r="605" spans="8:8" ht="15.75" customHeight="1">
      <c r="H605" s="109"/>
    </row>
    <row r="606" spans="8:8" ht="15.75" customHeight="1">
      <c r="H606" s="109"/>
    </row>
    <row r="607" spans="8:8" ht="15.75" customHeight="1">
      <c r="H607" s="109"/>
    </row>
    <row r="608" spans="8:8" ht="15.75" customHeight="1">
      <c r="H608" s="109"/>
    </row>
    <row r="609" spans="8:8" ht="15.75" customHeight="1">
      <c r="H609" s="109"/>
    </row>
    <row r="610" spans="8:8" ht="15.75" customHeight="1">
      <c r="H610" s="109"/>
    </row>
    <row r="611" spans="8:8" ht="15.75" customHeight="1">
      <c r="H611" s="109"/>
    </row>
    <row r="612" spans="8:8" ht="15.75" customHeight="1">
      <c r="H612" s="109"/>
    </row>
    <row r="613" spans="8:8" ht="15.75" customHeight="1">
      <c r="H613" s="109"/>
    </row>
    <row r="614" spans="8:8" ht="15.75" customHeight="1">
      <c r="H614" s="109"/>
    </row>
    <row r="615" spans="8:8" ht="15.75" customHeight="1">
      <c r="H615" s="109"/>
    </row>
    <row r="616" spans="8:8" ht="15.75" customHeight="1">
      <c r="H616" s="109"/>
    </row>
    <row r="617" spans="8:8" ht="15.75" customHeight="1">
      <c r="H617" s="109"/>
    </row>
    <row r="618" spans="8:8" ht="15.75" customHeight="1">
      <c r="H618" s="109"/>
    </row>
    <row r="619" spans="8:8" ht="15.75" customHeight="1">
      <c r="H619" s="109"/>
    </row>
    <row r="620" spans="8:8" ht="15.75" customHeight="1">
      <c r="H620" s="109"/>
    </row>
    <row r="621" spans="8:8" ht="15.75" customHeight="1">
      <c r="H621" s="109"/>
    </row>
    <row r="622" spans="8:8" ht="15.75" customHeight="1">
      <c r="H622" s="109"/>
    </row>
    <row r="623" spans="8:8" ht="15.75" customHeight="1">
      <c r="H623" s="109"/>
    </row>
    <row r="624" spans="8:8" ht="15.75" customHeight="1">
      <c r="H624" s="109"/>
    </row>
    <row r="625" spans="8:8" ht="15.75" customHeight="1">
      <c r="H625" s="109"/>
    </row>
    <row r="626" spans="8:8" ht="15.75" customHeight="1">
      <c r="H626" s="109"/>
    </row>
    <row r="627" spans="8:8" ht="15.75" customHeight="1">
      <c r="H627" s="109"/>
    </row>
    <row r="628" spans="8:8" ht="15.75" customHeight="1">
      <c r="H628" s="109"/>
    </row>
    <row r="629" spans="8:8" ht="15.75" customHeight="1">
      <c r="H629" s="109"/>
    </row>
    <row r="630" spans="8:8" ht="15.75" customHeight="1">
      <c r="H630" s="109"/>
    </row>
    <row r="631" spans="8:8" ht="15.75" customHeight="1">
      <c r="H631" s="109"/>
    </row>
    <row r="632" spans="8:8" ht="15.75" customHeight="1">
      <c r="H632" s="109"/>
    </row>
    <row r="633" spans="8:8" ht="15.75" customHeight="1">
      <c r="H633" s="109"/>
    </row>
    <row r="634" spans="8:8" ht="15.75" customHeight="1">
      <c r="H634" s="109"/>
    </row>
    <row r="635" spans="8:8" ht="15.75" customHeight="1">
      <c r="H635" s="109"/>
    </row>
    <row r="636" spans="8:8" ht="15.75" customHeight="1">
      <c r="H636" s="109"/>
    </row>
    <row r="637" spans="8:8" ht="15.75" customHeight="1">
      <c r="H637" s="109"/>
    </row>
    <row r="638" spans="8:8" ht="15.75" customHeight="1">
      <c r="H638" s="109"/>
    </row>
    <row r="639" spans="8:8" ht="15.75" customHeight="1">
      <c r="H639" s="109"/>
    </row>
    <row r="640" spans="8:8" ht="15.75" customHeight="1">
      <c r="H640" s="109"/>
    </row>
    <row r="641" spans="8:8" ht="15.75" customHeight="1">
      <c r="H641" s="109"/>
    </row>
    <row r="642" spans="8:8" ht="15.75" customHeight="1">
      <c r="H642" s="109"/>
    </row>
    <row r="643" spans="8:8" ht="15.75" customHeight="1">
      <c r="H643" s="109"/>
    </row>
    <row r="644" spans="8:8" ht="15.75" customHeight="1">
      <c r="H644" s="109"/>
    </row>
    <row r="645" spans="8:8" ht="15.75" customHeight="1">
      <c r="H645" s="109"/>
    </row>
    <row r="646" spans="8:8" ht="15.75" customHeight="1">
      <c r="H646" s="109"/>
    </row>
    <row r="647" spans="8:8" ht="15.75" customHeight="1">
      <c r="H647" s="109"/>
    </row>
    <row r="648" spans="8:8" ht="15.75" customHeight="1">
      <c r="H648" s="109"/>
    </row>
    <row r="649" spans="8:8" ht="15.75" customHeight="1">
      <c r="H649" s="109"/>
    </row>
    <row r="650" spans="8:8" ht="15.75" customHeight="1">
      <c r="H650" s="109"/>
    </row>
    <row r="651" spans="8:8" ht="15.75" customHeight="1">
      <c r="H651" s="109"/>
    </row>
    <row r="652" spans="8:8" ht="15.75" customHeight="1">
      <c r="H652" s="109"/>
    </row>
    <row r="653" spans="8:8" ht="15.75" customHeight="1">
      <c r="H653" s="109"/>
    </row>
    <row r="654" spans="8:8" ht="15.75" customHeight="1">
      <c r="H654" s="109"/>
    </row>
    <row r="655" spans="8:8" ht="15.75" customHeight="1">
      <c r="H655" s="109"/>
    </row>
    <row r="656" spans="8:8" ht="15.75" customHeight="1">
      <c r="H656" s="109"/>
    </row>
    <row r="657" spans="8:8" ht="15.75" customHeight="1">
      <c r="H657" s="109"/>
    </row>
    <row r="658" spans="8:8" ht="15.75" customHeight="1">
      <c r="H658" s="109"/>
    </row>
    <row r="659" spans="8:8" ht="15.75" customHeight="1">
      <c r="H659" s="109"/>
    </row>
    <row r="660" spans="8:8" ht="15.75" customHeight="1">
      <c r="H660" s="109"/>
    </row>
    <row r="661" spans="8:8" ht="15.75" customHeight="1">
      <c r="H661" s="109"/>
    </row>
    <row r="662" spans="8:8" ht="15.75" customHeight="1">
      <c r="H662" s="109"/>
    </row>
    <row r="663" spans="8:8" ht="15.75" customHeight="1">
      <c r="H663" s="109"/>
    </row>
    <row r="664" spans="8:8" ht="15.75" customHeight="1">
      <c r="H664" s="109"/>
    </row>
    <row r="665" spans="8:8" ht="15.75" customHeight="1">
      <c r="H665" s="109"/>
    </row>
    <row r="666" spans="8:8" ht="15.75" customHeight="1">
      <c r="H666" s="109"/>
    </row>
    <row r="667" spans="8:8" ht="15.75" customHeight="1">
      <c r="H667" s="109"/>
    </row>
    <row r="668" spans="8:8" ht="15.75" customHeight="1">
      <c r="H668" s="109"/>
    </row>
    <row r="669" spans="8:8" ht="15.75" customHeight="1">
      <c r="H669" s="109"/>
    </row>
    <row r="670" spans="8:8" ht="15.75" customHeight="1">
      <c r="H670" s="109"/>
    </row>
    <row r="671" spans="8:8" ht="15.75" customHeight="1">
      <c r="H671" s="109"/>
    </row>
    <row r="672" spans="8:8" ht="15.75" customHeight="1">
      <c r="H672" s="109"/>
    </row>
    <row r="673" spans="8:8" ht="15.75" customHeight="1">
      <c r="H673" s="109"/>
    </row>
    <row r="674" spans="8:8" ht="15.75" customHeight="1">
      <c r="H674" s="109"/>
    </row>
    <row r="675" spans="8:8" ht="15.75" customHeight="1">
      <c r="H675" s="109"/>
    </row>
    <row r="676" spans="8:8" ht="15.75" customHeight="1">
      <c r="H676" s="109"/>
    </row>
    <row r="677" spans="8:8" ht="15.75" customHeight="1">
      <c r="H677" s="109"/>
    </row>
    <row r="678" spans="8:8" ht="15.75" customHeight="1">
      <c r="H678" s="109"/>
    </row>
    <row r="679" spans="8:8" ht="15.75" customHeight="1">
      <c r="H679" s="109"/>
    </row>
    <row r="680" spans="8:8" ht="15.75" customHeight="1">
      <c r="H680" s="109"/>
    </row>
    <row r="681" spans="8:8" ht="15.75" customHeight="1">
      <c r="H681" s="109"/>
    </row>
    <row r="682" spans="8:8" ht="15.75" customHeight="1">
      <c r="H682" s="109"/>
    </row>
    <row r="683" spans="8:8" ht="15.75" customHeight="1">
      <c r="H683" s="109"/>
    </row>
    <row r="684" spans="8:8" ht="15.75" customHeight="1">
      <c r="H684" s="109"/>
    </row>
    <row r="685" spans="8:8" ht="15.75" customHeight="1">
      <c r="H685" s="109"/>
    </row>
    <row r="686" spans="8:8" ht="15.75" customHeight="1">
      <c r="H686" s="109"/>
    </row>
    <row r="687" spans="8:8" ht="15.75" customHeight="1">
      <c r="H687" s="109"/>
    </row>
    <row r="688" spans="8:8" ht="15.75" customHeight="1">
      <c r="H688" s="109"/>
    </row>
    <row r="689" spans="8:8" ht="15.75" customHeight="1">
      <c r="H689" s="109"/>
    </row>
    <row r="690" spans="8:8" ht="15.75" customHeight="1">
      <c r="H690" s="109"/>
    </row>
    <row r="691" spans="8:8" ht="15.75" customHeight="1">
      <c r="H691" s="109"/>
    </row>
    <row r="692" spans="8:8" ht="15.75" customHeight="1">
      <c r="H692" s="109"/>
    </row>
    <row r="693" spans="8:8" ht="15.75" customHeight="1">
      <c r="H693" s="109"/>
    </row>
    <row r="694" spans="8:8" ht="15.75" customHeight="1">
      <c r="H694" s="109"/>
    </row>
    <row r="695" spans="8:8" ht="15.75" customHeight="1">
      <c r="H695" s="109"/>
    </row>
    <row r="696" spans="8:8" ht="15.75" customHeight="1">
      <c r="H696" s="109"/>
    </row>
    <row r="697" spans="8:8" ht="15.75" customHeight="1">
      <c r="H697" s="109"/>
    </row>
    <row r="698" spans="8:8" ht="15.75" customHeight="1">
      <c r="H698" s="109"/>
    </row>
    <row r="699" spans="8:8" ht="15.75" customHeight="1">
      <c r="H699" s="109"/>
    </row>
    <row r="700" spans="8:8" ht="15.75" customHeight="1">
      <c r="H700" s="109"/>
    </row>
    <row r="701" spans="8:8" ht="15.75" customHeight="1">
      <c r="H701" s="109"/>
    </row>
    <row r="702" spans="8:8" ht="15.75" customHeight="1">
      <c r="H702" s="109"/>
    </row>
    <row r="703" spans="8:8" ht="15.75" customHeight="1">
      <c r="H703" s="109"/>
    </row>
    <row r="704" spans="8:8" ht="15.75" customHeight="1">
      <c r="H704" s="109"/>
    </row>
    <row r="705" spans="8:8" ht="15.75" customHeight="1">
      <c r="H705" s="109"/>
    </row>
    <row r="706" spans="8:8" ht="15.75" customHeight="1">
      <c r="H706" s="109"/>
    </row>
    <row r="707" spans="8:8" ht="15.75" customHeight="1">
      <c r="H707" s="109"/>
    </row>
    <row r="708" spans="8:8" ht="15.75" customHeight="1">
      <c r="H708" s="109"/>
    </row>
    <row r="709" spans="8:8" ht="15.75" customHeight="1">
      <c r="H709" s="109"/>
    </row>
    <row r="710" spans="8:8" ht="15.75" customHeight="1">
      <c r="H710" s="109"/>
    </row>
    <row r="711" spans="8:8" ht="15.75" customHeight="1">
      <c r="H711" s="109"/>
    </row>
    <row r="712" spans="8:8" ht="15.75" customHeight="1">
      <c r="H712" s="109"/>
    </row>
    <row r="713" spans="8:8" ht="15.75" customHeight="1">
      <c r="H713" s="109"/>
    </row>
    <row r="714" spans="8:8" ht="15.75" customHeight="1">
      <c r="H714" s="109"/>
    </row>
    <row r="715" spans="8:8" ht="15.75" customHeight="1">
      <c r="H715" s="109"/>
    </row>
    <row r="716" spans="8:8" ht="15.75" customHeight="1">
      <c r="H716" s="109"/>
    </row>
    <row r="717" spans="8:8" ht="15.75" customHeight="1">
      <c r="H717" s="109"/>
    </row>
    <row r="718" spans="8:8" ht="15.75" customHeight="1">
      <c r="H718" s="109"/>
    </row>
    <row r="719" spans="8:8" ht="15.75" customHeight="1">
      <c r="H719" s="109"/>
    </row>
    <row r="720" spans="8:8" ht="15.75" customHeight="1">
      <c r="H720" s="109"/>
    </row>
    <row r="721" spans="8:8" ht="15.75" customHeight="1">
      <c r="H721" s="109"/>
    </row>
    <row r="722" spans="8:8" ht="15.75" customHeight="1">
      <c r="H722" s="109"/>
    </row>
    <row r="723" spans="8:8" ht="15.75" customHeight="1">
      <c r="H723" s="109"/>
    </row>
    <row r="724" spans="8:8" ht="15.75" customHeight="1">
      <c r="H724" s="109"/>
    </row>
    <row r="725" spans="8:8" ht="15.75" customHeight="1">
      <c r="H725" s="109"/>
    </row>
    <row r="726" spans="8:8" ht="15.75" customHeight="1">
      <c r="H726" s="109"/>
    </row>
    <row r="727" spans="8:8" ht="15.75" customHeight="1">
      <c r="H727" s="109"/>
    </row>
    <row r="728" spans="8:8" ht="15.75" customHeight="1">
      <c r="H728" s="109"/>
    </row>
    <row r="729" spans="8:8" ht="15.75" customHeight="1">
      <c r="H729" s="109"/>
    </row>
    <row r="730" spans="8:8" ht="15.75" customHeight="1">
      <c r="H730" s="109"/>
    </row>
    <row r="731" spans="8:8" ht="15.75" customHeight="1">
      <c r="H731" s="109"/>
    </row>
    <row r="732" spans="8:8" ht="15.75" customHeight="1">
      <c r="H732" s="109"/>
    </row>
    <row r="733" spans="8:8" ht="15.75" customHeight="1">
      <c r="H733" s="109"/>
    </row>
    <row r="734" spans="8:8" ht="15.75" customHeight="1">
      <c r="H734" s="109"/>
    </row>
    <row r="735" spans="8:8" ht="15.75" customHeight="1">
      <c r="H735" s="109"/>
    </row>
    <row r="736" spans="8:8" ht="15.75" customHeight="1">
      <c r="H736" s="109"/>
    </row>
    <row r="737" spans="8:8" ht="15.75" customHeight="1">
      <c r="H737" s="109"/>
    </row>
    <row r="738" spans="8:8" ht="15.75" customHeight="1">
      <c r="H738" s="109"/>
    </row>
    <row r="739" spans="8:8" ht="15.75" customHeight="1">
      <c r="H739" s="109"/>
    </row>
    <row r="740" spans="8:8" ht="15.75" customHeight="1">
      <c r="H740" s="109"/>
    </row>
    <row r="741" spans="8:8" ht="15.75" customHeight="1">
      <c r="H741" s="109"/>
    </row>
    <row r="742" spans="8:8" ht="15.75" customHeight="1">
      <c r="H742" s="109"/>
    </row>
    <row r="743" spans="8:8" ht="15.75" customHeight="1">
      <c r="H743" s="109"/>
    </row>
    <row r="744" spans="8:8" ht="15.75" customHeight="1">
      <c r="H744" s="109"/>
    </row>
    <row r="745" spans="8:8" ht="15.75" customHeight="1">
      <c r="H745" s="109"/>
    </row>
    <row r="746" spans="8:8" ht="15.75" customHeight="1">
      <c r="H746" s="109"/>
    </row>
    <row r="747" spans="8:8" ht="15.75" customHeight="1">
      <c r="H747" s="109"/>
    </row>
    <row r="748" spans="8:8" ht="15.75" customHeight="1">
      <c r="H748" s="109"/>
    </row>
    <row r="749" spans="8:8" ht="15.75" customHeight="1">
      <c r="H749" s="109"/>
    </row>
    <row r="750" spans="8:8" ht="15.75" customHeight="1">
      <c r="H750" s="109"/>
    </row>
    <row r="751" spans="8:8" ht="15.75" customHeight="1">
      <c r="H751" s="109"/>
    </row>
    <row r="752" spans="8:8" ht="15.75" customHeight="1">
      <c r="H752" s="109"/>
    </row>
    <row r="753" spans="8:8" ht="15.75" customHeight="1">
      <c r="H753" s="109"/>
    </row>
    <row r="754" spans="8:8" ht="15.75" customHeight="1">
      <c r="H754" s="109"/>
    </row>
    <row r="755" spans="8:8" ht="15.75" customHeight="1">
      <c r="H755" s="109"/>
    </row>
    <row r="756" spans="8:8" ht="15.75" customHeight="1">
      <c r="H756" s="109"/>
    </row>
    <row r="757" spans="8:8" ht="15.75" customHeight="1">
      <c r="H757" s="109"/>
    </row>
    <row r="758" spans="8:8" ht="15.75" customHeight="1">
      <c r="H758" s="109"/>
    </row>
    <row r="759" spans="8:8" ht="15.75" customHeight="1">
      <c r="H759" s="109"/>
    </row>
    <row r="760" spans="8:8" ht="15.75" customHeight="1">
      <c r="H760" s="109"/>
    </row>
    <row r="761" spans="8:8" ht="15.75" customHeight="1">
      <c r="H761" s="109"/>
    </row>
    <row r="762" spans="8:8" ht="15.75" customHeight="1">
      <c r="H762" s="109"/>
    </row>
    <row r="763" spans="8:8" ht="15.75" customHeight="1">
      <c r="H763" s="109"/>
    </row>
    <row r="764" spans="8:8" ht="15.75" customHeight="1">
      <c r="H764" s="109"/>
    </row>
    <row r="765" spans="8:8" ht="15.75" customHeight="1">
      <c r="H765" s="109"/>
    </row>
    <row r="766" spans="8:8" ht="15.75" customHeight="1">
      <c r="H766" s="109"/>
    </row>
    <row r="767" spans="8:8" ht="15.75" customHeight="1">
      <c r="H767" s="109"/>
    </row>
    <row r="768" spans="8:8" ht="15.75" customHeight="1">
      <c r="H768" s="109"/>
    </row>
    <row r="769" spans="8:8" ht="15.75" customHeight="1">
      <c r="H769" s="109"/>
    </row>
    <row r="770" spans="8:8" ht="15.75" customHeight="1">
      <c r="H770" s="109"/>
    </row>
    <row r="771" spans="8:8" ht="15.75" customHeight="1">
      <c r="H771" s="109"/>
    </row>
    <row r="772" spans="8:8" ht="15.75" customHeight="1">
      <c r="H772" s="109"/>
    </row>
    <row r="773" spans="8:8" ht="15.75" customHeight="1">
      <c r="H773" s="109"/>
    </row>
    <row r="774" spans="8:8" ht="15.75" customHeight="1">
      <c r="H774" s="109"/>
    </row>
    <row r="775" spans="8:8" ht="15.75" customHeight="1">
      <c r="H775" s="109"/>
    </row>
    <row r="776" spans="8:8" ht="15.75" customHeight="1">
      <c r="H776" s="109"/>
    </row>
    <row r="777" spans="8:8" ht="15.75" customHeight="1">
      <c r="H777" s="109"/>
    </row>
    <row r="778" spans="8:8" ht="15.75" customHeight="1">
      <c r="H778" s="109"/>
    </row>
    <row r="779" spans="8:8" ht="15.75" customHeight="1">
      <c r="H779" s="109"/>
    </row>
    <row r="780" spans="8:8" ht="15.75" customHeight="1">
      <c r="H780" s="109"/>
    </row>
    <row r="781" spans="8:8" ht="15.75" customHeight="1">
      <c r="H781" s="109"/>
    </row>
    <row r="782" spans="8:8" ht="15.75" customHeight="1">
      <c r="H782" s="109"/>
    </row>
    <row r="783" spans="8:8" ht="15.75" customHeight="1">
      <c r="H783" s="109"/>
    </row>
    <row r="784" spans="8:8" ht="15.75" customHeight="1">
      <c r="H784" s="109"/>
    </row>
    <row r="785" spans="8:8" ht="15.75" customHeight="1">
      <c r="H785" s="109"/>
    </row>
    <row r="786" spans="8:8" ht="15.75" customHeight="1">
      <c r="H786" s="109"/>
    </row>
    <row r="787" spans="8:8" ht="15.75" customHeight="1">
      <c r="H787" s="109"/>
    </row>
    <row r="788" spans="8:8" ht="15.75" customHeight="1">
      <c r="H788" s="109"/>
    </row>
    <row r="789" spans="8:8" ht="15.75" customHeight="1">
      <c r="H789" s="109"/>
    </row>
    <row r="790" spans="8:8" ht="15.75" customHeight="1">
      <c r="H790" s="109"/>
    </row>
    <row r="791" spans="8:8" ht="15.75" customHeight="1">
      <c r="H791" s="109"/>
    </row>
    <row r="792" spans="8:8" ht="15.75" customHeight="1">
      <c r="H792" s="109"/>
    </row>
    <row r="793" spans="8:8" ht="15.75" customHeight="1">
      <c r="H793" s="109"/>
    </row>
    <row r="794" spans="8:8" ht="15.75" customHeight="1">
      <c r="H794" s="109"/>
    </row>
    <row r="795" spans="8:8" ht="15.75" customHeight="1">
      <c r="H795" s="109"/>
    </row>
    <row r="796" spans="8:8" ht="15.75" customHeight="1">
      <c r="H796" s="109"/>
    </row>
    <row r="797" spans="8:8" ht="15.75" customHeight="1">
      <c r="H797" s="109"/>
    </row>
    <row r="798" spans="8:8" ht="15.75" customHeight="1">
      <c r="H798" s="109"/>
    </row>
    <row r="799" spans="8:8" ht="15.75" customHeight="1">
      <c r="H799" s="109"/>
    </row>
    <row r="800" spans="8:8" ht="15.75" customHeight="1">
      <c r="H800" s="109"/>
    </row>
    <row r="801" spans="8:8" ht="15.75" customHeight="1">
      <c r="H801" s="109"/>
    </row>
    <row r="802" spans="8:8" ht="15.75" customHeight="1">
      <c r="H802" s="109"/>
    </row>
    <row r="803" spans="8:8" ht="15.75" customHeight="1">
      <c r="H803" s="109"/>
    </row>
    <row r="804" spans="8:8" ht="15.75" customHeight="1">
      <c r="H804" s="109"/>
    </row>
    <row r="805" spans="8:8" ht="15.75" customHeight="1">
      <c r="H805" s="109"/>
    </row>
    <row r="806" spans="8:8" ht="15.75" customHeight="1">
      <c r="H806" s="109"/>
    </row>
    <row r="807" spans="8:8" ht="15.75" customHeight="1">
      <c r="H807" s="109"/>
    </row>
    <row r="808" spans="8:8" ht="15.75" customHeight="1">
      <c r="H808" s="109"/>
    </row>
    <row r="809" spans="8:8" ht="15.75" customHeight="1">
      <c r="H809" s="109"/>
    </row>
    <row r="810" spans="8:8" ht="15.75" customHeight="1">
      <c r="H810" s="109"/>
    </row>
    <row r="811" spans="8:8" ht="15.75" customHeight="1">
      <c r="H811" s="109"/>
    </row>
    <row r="812" spans="8:8" ht="15.75" customHeight="1">
      <c r="H812" s="109"/>
    </row>
    <row r="813" spans="8:8" ht="15.75" customHeight="1">
      <c r="H813" s="109"/>
    </row>
    <row r="814" spans="8:8" ht="15.75" customHeight="1">
      <c r="H814" s="109"/>
    </row>
    <row r="815" spans="8:8" ht="15.75" customHeight="1">
      <c r="H815" s="109"/>
    </row>
    <row r="816" spans="8:8" ht="15.75" customHeight="1">
      <c r="H816" s="109"/>
    </row>
    <row r="817" spans="8:8" ht="15.75" customHeight="1">
      <c r="H817" s="109"/>
    </row>
    <row r="818" spans="8:8" ht="15.75" customHeight="1">
      <c r="H818" s="109"/>
    </row>
    <row r="819" spans="8:8" ht="15.75" customHeight="1">
      <c r="H819" s="109"/>
    </row>
    <row r="820" spans="8:8" ht="15.75" customHeight="1">
      <c r="H820" s="109"/>
    </row>
    <row r="821" spans="8:8" ht="15.75" customHeight="1">
      <c r="H821" s="109"/>
    </row>
    <row r="822" spans="8:8" ht="15.75" customHeight="1">
      <c r="H822" s="109"/>
    </row>
    <row r="823" spans="8:8" ht="15.75" customHeight="1">
      <c r="H823" s="109"/>
    </row>
    <row r="824" spans="8:8" ht="15.75" customHeight="1">
      <c r="H824" s="109"/>
    </row>
    <row r="825" spans="8:8" ht="15.75" customHeight="1">
      <c r="H825" s="109"/>
    </row>
    <row r="826" spans="8:8" ht="15.75" customHeight="1">
      <c r="H826" s="109"/>
    </row>
    <row r="827" spans="8:8" ht="15.75" customHeight="1">
      <c r="H827" s="109"/>
    </row>
    <row r="828" spans="8:8" ht="15.75" customHeight="1">
      <c r="H828" s="109"/>
    </row>
    <row r="829" spans="8:8" ht="15.75" customHeight="1">
      <c r="H829" s="109"/>
    </row>
    <row r="830" spans="8:8" ht="15.75" customHeight="1">
      <c r="H830" s="109"/>
    </row>
    <row r="831" spans="8:8" ht="15.75" customHeight="1">
      <c r="H831" s="109"/>
    </row>
    <row r="832" spans="8:8" ht="15.75" customHeight="1">
      <c r="H832" s="109"/>
    </row>
    <row r="833" spans="8:8" ht="15.75" customHeight="1">
      <c r="H833" s="109"/>
    </row>
    <row r="834" spans="8:8" ht="15.75" customHeight="1">
      <c r="H834" s="109"/>
    </row>
    <row r="835" spans="8:8" ht="15.75" customHeight="1">
      <c r="H835" s="109"/>
    </row>
    <row r="836" spans="8:8" ht="15.75" customHeight="1">
      <c r="H836" s="109"/>
    </row>
    <row r="837" spans="8:8" ht="15.75" customHeight="1">
      <c r="H837" s="109"/>
    </row>
    <row r="838" spans="8:8" ht="15.75" customHeight="1">
      <c r="H838" s="109"/>
    </row>
    <row r="839" spans="8:8" ht="15.75" customHeight="1">
      <c r="H839" s="109"/>
    </row>
    <row r="840" spans="8:8" ht="15.75" customHeight="1">
      <c r="H840" s="109"/>
    </row>
    <row r="841" spans="8:8" ht="15.75" customHeight="1">
      <c r="H841" s="109"/>
    </row>
    <row r="842" spans="8:8" ht="15.75" customHeight="1">
      <c r="H842" s="109"/>
    </row>
    <row r="843" spans="8:8" ht="15.75" customHeight="1">
      <c r="H843" s="109"/>
    </row>
    <row r="844" spans="8:8" ht="15.75" customHeight="1">
      <c r="H844" s="109"/>
    </row>
    <row r="845" spans="8:8" ht="15.75" customHeight="1">
      <c r="H845" s="109"/>
    </row>
    <row r="846" spans="8:8" ht="15.75" customHeight="1">
      <c r="H846" s="109"/>
    </row>
    <row r="847" spans="8:8" ht="15.75" customHeight="1">
      <c r="H847" s="109"/>
    </row>
    <row r="848" spans="8:8" ht="15.75" customHeight="1">
      <c r="H848" s="109"/>
    </row>
    <row r="849" spans="8:8" ht="15.75" customHeight="1">
      <c r="H849" s="109"/>
    </row>
    <row r="850" spans="8:8" ht="15.75" customHeight="1">
      <c r="H850" s="109"/>
    </row>
    <row r="851" spans="8:8" ht="15.75" customHeight="1">
      <c r="H851" s="109"/>
    </row>
    <row r="852" spans="8:8" ht="15.75" customHeight="1">
      <c r="H852" s="109"/>
    </row>
    <row r="853" spans="8:8" ht="15.75" customHeight="1">
      <c r="H853" s="109"/>
    </row>
    <row r="854" spans="8:8" ht="15.75" customHeight="1">
      <c r="H854" s="109"/>
    </row>
    <row r="855" spans="8:8" ht="15.75" customHeight="1">
      <c r="H855" s="109"/>
    </row>
    <row r="856" spans="8:8" ht="15.75" customHeight="1">
      <c r="H856" s="109"/>
    </row>
    <row r="857" spans="8:8" ht="15.75" customHeight="1">
      <c r="H857" s="109"/>
    </row>
    <row r="858" spans="8:8" ht="15.75" customHeight="1">
      <c r="H858" s="109"/>
    </row>
    <row r="859" spans="8:8" ht="15.75" customHeight="1">
      <c r="H859" s="109"/>
    </row>
    <row r="860" spans="8:8" ht="15.75" customHeight="1">
      <c r="H860" s="109"/>
    </row>
    <row r="861" spans="8:8" ht="15.75" customHeight="1">
      <c r="H861" s="109"/>
    </row>
    <row r="862" spans="8:8" ht="15.75" customHeight="1">
      <c r="H862" s="109"/>
    </row>
    <row r="863" spans="8:8" ht="15.75" customHeight="1">
      <c r="H863" s="109"/>
    </row>
    <row r="864" spans="8:8" ht="15.75" customHeight="1">
      <c r="H864" s="109"/>
    </row>
    <row r="865" spans="8:8" ht="15.75" customHeight="1">
      <c r="H865" s="109"/>
    </row>
    <row r="866" spans="8:8" ht="15.75" customHeight="1">
      <c r="H866" s="109"/>
    </row>
    <row r="867" spans="8:8" ht="15.75" customHeight="1">
      <c r="H867" s="109"/>
    </row>
    <row r="868" spans="8:8" ht="15.75" customHeight="1">
      <c r="H868" s="109"/>
    </row>
    <row r="869" spans="8:8" ht="15.75" customHeight="1">
      <c r="H869" s="109"/>
    </row>
    <row r="870" spans="8:8" ht="15.75" customHeight="1">
      <c r="H870" s="109"/>
    </row>
    <row r="871" spans="8:8" ht="15.75" customHeight="1">
      <c r="H871" s="109"/>
    </row>
    <row r="872" spans="8:8" ht="15.75" customHeight="1">
      <c r="H872" s="109"/>
    </row>
    <row r="873" spans="8:8" ht="15.75" customHeight="1">
      <c r="H873" s="109"/>
    </row>
    <row r="874" spans="8:8" ht="15.75" customHeight="1">
      <c r="H874" s="109"/>
    </row>
    <row r="875" spans="8:8" ht="15.75" customHeight="1">
      <c r="H875" s="109"/>
    </row>
    <row r="876" spans="8:8" ht="15.75" customHeight="1">
      <c r="H876" s="109"/>
    </row>
    <row r="877" spans="8:8" ht="15.75" customHeight="1">
      <c r="H877" s="109"/>
    </row>
    <row r="878" spans="8:8" ht="15.75" customHeight="1">
      <c r="H878" s="109"/>
    </row>
    <row r="879" spans="8:8" ht="15.75" customHeight="1">
      <c r="H879" s="109"/>
    </row>
    <row r="880" spans="8:8" ht="15.75" customHeight="1">
      <c r="H880" s="109"/>
    </row>
    <row r="881" spans="8:8" ht="15.75" customHeight="1">
      <c r="H881" s="109"/>
    </row>
    <row r="882" spans="8:8" ht="15.75" customHeight="1">
      <c r="H882" s="109"/>
    </row>
    <row r="883" spans="8:8" ht="15.75" customHeight="1">
      <c r="H883" s="109"/>
    </row>
    <row r="884" spans="8:8" ht="15.75" customHeight="1">
      <c r="H884" s="109"/>
    </row>
    <row r="885" spans="8:8" ht="15.75" customHeight="1">
      <c r="H885" s="109"/>
    </row>
    <row r="886" spans="8:8" ht="15.75" customHeight="1">
      <c r="H886" s="109"/>
    </row>
    <row r="887" spans="8:8" ht="15.75" customHeight="1">
      <c r="H887" s="109"/>
    </row>
    <row r="888" spans="8:8" ht="15.75" customHeight="1">
      <c r="H888" s="109"/>
    </row>
    <row r="889" spans="8:8" ht="15.75" customHeight="1">
      <c r="H889" s="109"/>
    </row>
    <row r="890" spans="8:8" ht="15.75" customHeight="1">
      <c r="H890" s="109"/>
    </row>
    <row r="891" spans="8:8" ht="15.75" customHeight="1">
      <c r="H891" s="109"/>
    </row>
    <row r="892" spans="8:8" ht="15.75" customHeight="1">
      <c r="H892" s="109"/>
    </row>
    <row r="893" spans="8:8" ht="15.75" customHeight="1">
      <c r="H893" s="109"/>
    </row>
    <row r="894" spans="8:8" ht="15.75" customHeight="1">
      <c r="H894" s="109"/>
    </row>
    <row r="895" spans="8:8" ht="15.75" customHeight="1">
      <c r="H895" s="109"/>
    </row>
    <row r="896" spans="8:8" ht="15.75" customHeight="1">
      <c r="H896" s="109"/>
    </row>
    <row r="897" spans="8:8" ht="15.75" customHeight="1">
      <c r="H897" s="109"/>
    </row>
    <row r="898" spans="8:8" ht="15.75" customHeight="1">
      <c r="H898" s="109"/>
    </row>
    <row r="899" spans="8:8" ht="15.75" customHeight="1">
      <c r="H899" s="109"/>
    </row>
    <row r="900" spans="8:8" ht="15.75" customHeight="1">
      <c r="H900" s="109"/>
    </row>
    <row r="901" spans="8:8" ht="15.75" customHeight="1">
      <c r="H901" s="109"/>
    </row>
    <row r="902" spans="8:8" ht="15.75" customHeight="1">
      <c r="H902" s="109"/>
    </row>
    <row r="903" spans="8:8" ht="15.75" customHeight="1">
      <c r="H903" s="109"/>
    </row>
    <row r="904" spans="8:8" ht="15.75" customHeight="1">
      <c r="H904" s="109"/>
    </row>
    <row r="905" spans="8:8" ht="15.75" customHeight="1">
      <c r="H905" s="109"/>
    </row>
    <row r="906" spans="8:8" ht="15.75" customHeight="1">
      <c r="H906" s="109"/>
    </row>
    <row r="907" spans="8:8" ht="15.75" customHeight="1">
      <c r="H907" s="109"/>
    </row>
    <row r="908" spans="8:8" ht="15.75" customHeight="1">
      <c r="H908" s="109"/>
    </row>
    <row r="909" spans="8:8" ht="15.75" customHeight="1">
      <c r="H909" s="109"/>
    </row>
    <row r="910" spans="8:8" ht="15.75" customHeight="1">
      <c r="H910" s="109"/>
    </row>
    <row r="911" spans="8:8" ht="15.75" customHeight="1">
      <c r="H911" s="109"/>
    </row>
    <row r="912" spans="8:8" ht="15.75" customHeight="1">
      <c r="H912" s="109"/>
    </row>
    <row r="913" spans="8:8" ht="15.75" customHeight="1">
      <c r="H913" s="109"/>
    </row>
    <row r="914" spans="8:8" ht="15.75" customHeight="1">
      <c r="H914" s="109"/>
    </row>
    <row r="915" spans="8:8" ht="15.75" customHeight="1">
      <c r="H915" s="109"/>
    </row>
    <row r="916" spans="8:8" ht="15.75" customHeight="1">
      <c r="H916" s="109"/>
    </row>
    <row r="917" spans="8:8" ht="15.75" customHeight="1">
      <c r="H917" s="109"/>
    </row>
    <row r="918" spans="8:8" ht="15.75" customHeight="1">
      <c r="H918" s="109"/>
    </row>
    <row r="919" spans="8:8" ht="15.75" customHeight="1">
      <c r="H919" s="109"/>
    </row>
    <row r="920" spans="8:8" ht="15.75" customHeight="1">
      <c r="H920" s="109"/>
    </row>
    <row r="921" spans="8:8" ht="15.75" customHeight="1">
      <c r="H921" s="109"/>
    </row>
    <row r="922" spans="8:8" ht="15.75" customHeight="1">
      <c r="H922" s="109"/>
    </row>
    <row r="923" spans="8:8" ht="15.75" customHeight="1">
      <c r="H923" s="109"/>
    </row>
    <row r="924" spans="8:8" ht="15.75" customHeight="1">
      <c r="H924" s="109"/>
    </row>
    <row r="925" spans="8:8" ht="15.75" customHeight="1">
      <c r="H925" s="109"/>
    </row>
    <row r="926" spans="8:8" ht="15.75" customHeight="1">
      <c r="H926" s="109"/>
    </row>
    <row r="927" spans="8:8" ht="15.75" customHeight="1">
      <c r="H927" s="109"/>
    </row>
    <row r="928" spans="8:8" ht="15.75" customHeight="1">
      <c r="H928" s="109"/>
    </row>
    <row r="929" spans="8:8" ht="15.75" customHeight="1">
      <c r="H929" s="109"/>
    </row>
    <row r="930" spans="8:8" ht="15.75" customHeight="1">
      <c r="H930" s="109"/>
    </row>
    <row r="931" spans="8:8" ht="15.75" customHeight="1">
      <c r="H931" s="109"/>
    </row>
    <row r="932" spans="8:8" ht="15.75" customHeight="1">
      <c r="H932" s="109"/>
    </row>
    <row r="933" spans="8:8" ht="15.75" customHeight="1">
      <c r="H933" s="109"/>
    </row>
    <row r="934" spans="8:8" ht="15.75" customHeight="1">
      <c r="H934" s="109"/>
    </row>
    <row r="935" spans="8:8" ht="15.75" customHeight="1">
      <c r="H935" s="109"/>
    </row>
    <row r="936" spans="8:8" ht="15.75" customHeight="1">
      <c r="H936" s="109"/>
    </row>
    <row r="937" spans="8:8" ht="15.75" customHeight="1">
      <c r="H937" s="109"/>
    </row>
    <row r="938" spans="8:8" ht="15.75" customHeight="1">
      <c r="H938" s="109"/>
    </row>
    <row r="939" spans="8:8" ht="15.75" customHeight="1">
      <c r="H939" s="109"/>
    </row>
    <row r="940" spans="8:8" ht="15.75" customHeight="1">
      <c r="H940" s="109"/>
    </row>
    <row r="941" spans="8:8" ht="15.75" customHeight="1">
      <c r="H941" s="109"/>
    </row>
    <row r="942" spans="8:8" ht="15.75" customHeight="1">
      <c r="H942" s="109"/>
    </row>
    <row r="943" spans="8:8" ht="15.75" customHeight="1">
      <c r="H943" s="109"/>
    </row>
    <row r="944" spans="8:8" ht="15.75" customHeight="1">
      <c r="H944" s="109"/>
    </row>
    <row r="945" spans="8:8" ht="15.75" customHeight="1">
      <c r="H945" s="109"/>
    </row>
    <row r="946" spans="8:8" ht="15.75" customHeight="1">
      <c r="H946" s="109"/>
    </row>
    <row r="947" spans="8:8" ht="15.75" customHeight="1">
      <c r="H947" s="109"/>
    </row>
    <row r="948" spans="8:8" ht="15.75" customHeight="1">
      <c r="H948" s="109"/>
    </row>
    <row r="949" spans="8:8" ht="15.75" customHeight="1">
      <c r="H949" s="109"/>
    </row>
    <row r="950" spans="8:8" ht="15.75" customHeight="1">
      <c r="H950" s="109"/>
    </row>
    <row r="951" spans="8:8" ht="15.75" customHeight="1">
      <c r="H951" s="109"/>
    </row>
    <row r="952" spans="8:8" ht="15.75" customHeight="1">
      <c r="H952" s="109"/>
    </row>
    <row r="953" spans="8:8" ht="15.75" customHeight="1">
      <c r="H953" s="109"/>
    </row>
    <row r="954" spans="8:8" ht="15.75" customHeight="1">
      <c r="H954" s="109"/>
    </row>
    <row r="955" spans="8:8" ht="15.75" customHeight="1">
      <c r="H955" s="109"/>
    </row>
    <row r="956" spans="8:8" ht="15.75" customHeight="1">
      <c r="H956" s="109"/>
    </row>
    <row r="957" spans="8:8" ht="15.75" customHeight="1">
      <c r="H957" s="109"/>
    </row>
    <row r="958" spans="8:8" ht="15.75" customHeight="1">
      <c r="H958" s="109"/>
    </row>
    <row r="959" spans="8:8" ht="15.75" customHeight="1">
      <c r="H959" s="109"/>
    </row>
    <row r="960" spans="8:8" ht="15.75" customHeight="1">
      <c r="H960" s="109"/>
    </row>
    <row r="961" spans="8:8" ht="15.75" customHeight="1">
      <c r="H961" s="109"/>
    </row>
    <row r="962" spans="8:8" ht="15.75" customHeight="1">
      <c r="H962" s="109"/>
    </row>
    <row r="963" spans="8:8" ht="15.75" customHeight="1">
      <c r="H963" s="109"/>
    </row>
    <row r="964" spans="8:8" ht="15.75" customHeight="1">
      <c r="H964" s="109"/>
    </row>
    <row r="965" spans="8:8" ht="15.75" customHeight="1">
      <c r="H965" s="109"/>
    </row>
    <row r="966" spans="8:8" ht="15.75" customHeight="1">
      <c r="H966" s="109"/>
    </row>
    <row r="967" spans="8:8" ht="15.75" customHeight="1">
      <c r="H967" s="109"/>
    </row>
    <row r="968" spans="8:8" ht="15.75" customHeight="1">
      <c r="H968" s="109"/>
    </row>
    <row r="969" spans="8:8" ht="15.75" customHeight="1">
      <c r="H969" s="109"/>
    </row>
    <row r="970" spans="8:8" ht="15.75" customHeight="1">
      <c r="H970" s="109"/>
    </row>
    <row r="971" spans="8:8" ht="15.75" customHeight="1">
      <c r="H971" s="109"/>
    </row>
    <row r="972" spans="8:8" ht="15.75" customHeight="1">
      <c r="H972" s="109"/>
    </row>
    <row r="973" spans="8:8" ht="15.75" customHeight="1">
      <c r="H973" s="109"/>
    </row>
    <row r="974" spans="8:8" ht="15.75" customHeight="1">
      <c r="H974" s="109"/>
    </row>
    <row r="975" spans="8:8" ht="15.75" customHeight="1">
      <c r="H975" s="109"/>
    </row>
    <row r="976" spans="8:8" ht="15.75" customHeight="1">
      <c r="H976" s="109"/>
    </row>
    <row r="977" spans="8:8" ht="15.75" customHeight="1">
      <c r="H977" s="109"/>
    </row>
    <row r="978" spans="8:8" ht="15.75" customHeight="1">
      <c r="H978" s="109"/>
    </row>
    <row r="979" spans="8:8" ht="15.75" customHeight="1">
      <c r="H979" s="109"/>
    </row>
    <row r="980" spans="8:8" ht="15.75" customHeight="1">
      <c r="H980" s="109"/>
    </row>
    <row r="981" spans="8:8" ht="15.75" customHeight="1">
      <c r="H981" s="109"/>
    </row>
    <row r="982" spans="8:8" ht="15.75" customHeight="1">
      <c r="H982" s="109"/>
    </row>
    <row r="983" spans="8:8" ht="15.75" customHeight="1">
      <c r="H983" s="109"/>
    </row>
    <row r="984" spans="8:8" ht="15.75" customHeight="1">
      <c r="H984" s="109"/>
    </row>
    <row r="985" spans="8:8" ht="15.75" customHeight="1">
      <c r="H985" s="109"/>
    </row>
    <row r="986" spans="8:8" ht="15.75" customHeight="1">
      <c r="H986" s="109"/>
    </row>
    <row r="987" spans="8:8" ht="15.75" customHeight="1">
      <c r="H987" s="109"/>
    </row>
    <row r="988" spans="8:8" ht="15.75" customHeight="1">
      <c r="H988" s="109"/>
    </row>
    <row r="989" spans="8:8" ht="15.75" customHeight="1">
      <c r="H989" s="109"/>
    </row>
    <row r="990" spans="8:8" ht="15.75" customHeight="1">
      <c r="H990" s="109"/>
    </row>
    <row r="991" spans="8:8" ht="15.75" customHeight="1">
      <c r="H991" s="109"/>
    </row>
    <row r="992" spans="8:8" ht="15.75" customHeight="1">
      <c r="H992" s="109"/>
    </row>
    <row r="993" spans="8:8" ht="15.75" customHeight="1">
      <c r="H993" s="109"/>
    </row>
    <row r="994" spans="8:8" ht="15.75" customHeight="1">
      <c r="H994" s="109"/>
    </row>
    <row r="995" spans="8:8" ht="15.75" customHeight="1">
      <c r="H995" s="109"/>
    </row>
    <row r="996" spans="8:8" ht="15.75" customHeight="1">
      <c r="H996" s="109"/>
    </row>
    <row r="997" spans="8:8" ht="15.75" customHeight="1">
      <c r="H997" s="109"/>
    </row>
    <row r="998" spans="8:8" ht="15.75" customHeight="1">
      <c r="H998" s="109"/>
    </row>
    <row r="999" spans="8:8" ht="15.75" customHeight="1">
      <c r="H999" s="109"/>
    </row>
    <row r="1000" spans="8:8" ht="15.75" customHeight="1">
      <c r="H1000" s="109"/>
    </row>
  </sheetData>
  <mergeCells count="1">
    <mergeCell ref="C1:D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Giovanny Ortiz R.</dc:creator>
  <cp:keywords/>
  <dc:description/>
  <cp:lastModifiedBy>Luz Adriana Ramirez Lopez</cp:lastModifiedBy>
  <cp:revision/>
  <dcterms:created xsi:type="dcterms:W3CDTF">2016-11-26T19:57:08Z</dcterms:created>
  <dcterms:modified xsi:type="dcterms:W3CDTF">2024-01-24T17:07:42Z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0x0101005B876095DF9BC043A689F6459E31EB3C</vt:lpwstr>
  </property>
</Properties>
</file>