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ramirez\Downloads\"/>
    </mc:Choice>
  </mc:AlternateContent>
  <xr:revisionPtr revIDLastSave="0" documentId="13_ncr:1_{F667A50C-0A2E-4643-BE60-10069386F0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3" r:id="rId1"/>
    <sheet name="2025" sheetId="4" r:id="rId2"/>
    <sheet name="2026" sheetId="5" r:id="rId3"/>
    <sheet name="2027" sheetId="6" r:id="rId4"/>
    <sheet name="Consolidado" sheetId="12" r:id="rId5"/>
  </sheets>
  <definedNames>
    <definedName name="_xlnm._FilterDatabase" localSheetId="0" hidden="1">'2024'!$A$2:$BB$139</definedName>
    <definedName name="_xlnm._FilterDatabase" localSheetId="4" hidden="1">Consolidado!$A$7:$N$140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" i="6" l="1"/>
  <c r="D76" i="12"/>
  <c r="F11" i="3"/>
  <c r="AR11" i="3"/>
  <c r="H94" i="3"/>
  <c r="H91" i="3" s="1"/>
  <c r="I132" i="3"/>
  <c r="I130" i="3" s="1"/>
  <c r="Y94" i="3"/>
  <c r="F10" i="12"/>
  <c r="F90" i="6"/>
  <c r="F90" i="5"/>
  <c r="J90" i="12" s="1"/>
  <c r="J69" i="3"/>
  <c r="H69" i="3"/>
  <c r="H67" i="3" s="1"/>
  <c r="Y69" i="3"/>
  <c r="Y67" i="3" s="1"/>
  <c r="AO5" i="3"/>
  <c r="AO69" i="3"/>
  <c r="AO67" i="3" s="1"/>
  <c r="H104" i="3"/>
  <c r="M104" i="3"/>
  <c r="M98" i="3" s="1"/>
  <c r="H120" i="3"/>
  <c r="H115" i="3" s="1"/>
  <c r="B100" i="12"/>
  <c r="D93" i="12"/>
  <c r="F90" i="3"/>
  <c r="F90" i="12" s="1"/>
  <c r="D42" i="12"/>
  <c r="I84" i="6"/>
  <c r="J84" i="6"/>
  <c r="K84" i="6"/>
  <c r="L84" i="6"/>
  <c r="L83" i="6" s="1"/>
  <c r="M84" i="6"/>
  <c r="N84" i="6"/>
  <c r="O84" i="6"/>
  <c r="P84" i="6"/>
  <c r="Q84" i="6"/>
  <c r="Q83" i="6" s="1"/>
  <c r="H84" i="6"/>
  <c r="I84" i="5"/>
  <c r="J84" i="5"/>
  <c r="K84" i="5"/>
  <c r="L84" i="5"/>
  <c r="M84" i="5"/>
  <c r="N84" i="5"/>
  <c r="O84" i="5"/>
  <c r="O83" i="5" s="1"/>
  <c r="P84" i="5"/>
  <c r="Q84" i="5"/>
  <c r="H84" i="5"/>
  <c r="A90" i="12"/>
  <c r="B90" i="12"/>
  <c r="C90" i="12"/>
  <c r="D90" i="12"/>
  <c r="E90" i="12"/>
  <c r="G90" i="12"/>
  <c r="I90" i="12"/>
  <c r="K90" i="12"/>
  <c r="L90" i="12"/>
  <c r="D139" i="6"/>
  <c r="C139" i="6"/>
  <c r="B139" i="6"/>
  <c r="A139" i="6"/>
  <c r="D138" i="6"/>
  <c r="C138" i="6"/>
  <c r="B138" i="6"/>
  <c r="A138" i="6"/>
  <c r="D137" i="6"/>
  <c r="C137" i="6"/>
  <c r="B137" i="6"/>
  <c r="A137" i="6"/>
  <c r="D136" i="6"/>
  <c r="C136" i="6"/>
  <c r="B136" i="6"/>
  <c r="A136" i="6"/>
  <c r="D135" i="6"/>
  <c r="C135" i="6"/>
  <c r="B135" i="6"/>
  <c r="A135" i="6"/>
  <c r="D134" i="6"/>
  <c r="C134" i="6"/>
  <c r="B134" i="6"/>
  <c r="A134" i="6"/>
  <c r="D133" i="6"/>
  <c r="C133" i="6"/>
  <c r="B133" i="6"/>
  <c r="A133" i="6"/>
  <c r="D132" i="6"/>
  <c r="C132" i="6"/>
  <c r="B132" i="6"/>
  <c r="A132" i="6"/>
  <c r="D131" i="6"/>
  <c r="C131" i="6"/>
  <c r="B131" i="6"/>
  <c r="A131" i="6"/>
  <c r="D130" i="6"/>
  <c r="C130" i="6"/>
  <c r="B130" i="6"/>
  <c r="A130" i="6"/>
  <c r="D129" i="6"/>
  <c r="C129" i="6"/>
  <c r="B129" i="6"/>
  <c r="A129" i="6"/>
  <c r="D128" i="6"/>
  <c r="C128" i="6"/>
  <c r="B128" i="6"/>
  <c r="A128" i="6"/>
  <c r="D127" i="6"/>
  <c r="C127" i="6"/>
  <c r="B127" i="6"/>
  <c r="A127" i="6"/>
  <c r="D126" i="6"/>
  <c r="C126" i="6"/>
  <c r="B126" i="6"/>
  <c r="A126" i="6"/>
  <c r="D125" i="6"/>
  <c r="C125" i="6"/>
  <c r="B125" i="6"/>
  <c r="A125" i="6"/>
  <c r="D124" i="6"/>
  <c r="C124" i="6"/>
  <c r="B124" i="6"/>
  <c r="A124" i="6"/>
  <c r="D123" i="6"/>
  <c r="C123" i="6"/>
  <c r="B123" i="6"/>
  <c r="A123" i="6"/>
  <c r="B122" i="6"/>
  <c r="A122" i="6"/>
  <c r="C121" i="6"/>
  <c r="B121" i="6"/>
  <c r="A121" i="6"/>
  <c r="D120" i="6"/>
  <c r="C120" i="6"/>
  <c r="B120" i="6"/>
  <c r="A120" i="6"/>
  <c r="D119" i="6"/>
  <c r="C119" i="6"/>
  <c r="B119" i="6"/>
  <c r="A119" i="6"/>
  <c r="D118" i="6"/>
  <c r="C118" i="6"/>
  <c r="B118" i="6"/>
  <c r="A118" i="6"/>
  <c r="D117" i="6"/>
  <c r="C117" i="6"/>
  <c r="B117" i="6"/>
  <c r="A117" i="6"/>
  <c r="D116" i="6"/>
  <c r="C116" i="6"/>
  <c r="B116" i="6"/>
  <c r="A116" i="6"/>
  <c r="D115" i="6"/>
  <c r="C115" i="6"/>
  <c r="B115" i="6"/>
  <c r="A115" i="6"/>
  <c r="D114" i="6"/>
  <c r="C114" i="6"/>
  <c r="B114" i="6"/>
  <c r="A114" i="6"/>
  <c r="D113" i="6"/>
  <c r="C113" i="6"/>
  <c r="B113" i="6"/>
  <c r="A113" i="6"/>
  <c r="D112" i="6"/>
  <c r="C112" i="6"/>
  <c r="B112" i="6"/>
  <c r="A112" i="6"/>
  <c r="D111" i="6"/>
  <c r="C111" i="6"/>
  <c r="B111" i="6"/>
  <c r="A111" i="6"/>
  <c r="D110" i="6"/>
  <c r="C110" i="6"/>
  <c r="B110" i="6"/>
  <c r="A110" i="6"/>
  <c r="D109" i="6"/>
  <c r="C109" i="6"/>
  <c r="B109" i="6"/>
  <c r="A109" i="6"/>
  <c r="D108" i="6"/>
  <c r="C108" i="6"/>
  <c r="B108" i="6"/>
  <c r="A108" i="6"/>
  <c r="D107" i="6"/>
  <c r="C107" i="6"/>
  <c r="B107" i="6"/>
  <c r="A107" i="6"/>
  <c r="D106" i="6"/>
  <c r="C106" i="6"/>
  <c r="B106" i="6"/>
  <c r="A106" i="6"/>
  <c r="D105" i="6"/>
  <c r="C105" i="6"/>
  <c r="B105" i="6"/>
  <c r="A105" i="6"/>
  <c r="D104" i="6"/>
  <c r="C104" i="6"/>
  <c r="B104" i="6"/>
  <c r="A104" i="6"/>
  <c r="D103" i="6"/>
  <c r="C103" i="6"/>
  <c r="B103" i="6"/>
  <c r="A103" i="6"/>
  <c r="D102" i="6"/>
  <c r="C102" i="6"/>
  <c r="B102" i="6"/>
  <c r="A102" i="6"/>
  <c r="D101" i="6"/>
  <c r="C101" i="6"/>
  <c r="B101" i="6"/>
  <c r="A101" i="6"/>
  <c r="D100" i="6"/>
  <c r="C100" i="6"/>
  <c r="B100" i="6"/>
  <c r="A100" i="6"/>
  <c r="D99" i="6"/>
  <c r="C99" i="6"/>
  <c r="B99" i="6"/>
  <c r="A99" i="6"/>
  <c r="D98" i="6"/>
  <c r="C98" i="6"/>
  <c r="B98" i="6"/>
  <c r="A98" i="6"/>
  <c r="B97" i="6"/>
  <c r="A97" i="6"/>
  <c r="B96" i="6"/>
  <c r="A96" i="6"/>
  <c r="D95" i="6"/>
  <c r="C95" i="6"/>
  <c r="B95" i="6"/>
  <c r="A95" i="6"/>
  <c r="D94" i="6"/>
  <c r="C94" i="6"/>
  <c r="B94" i="6"/>
  <c r="A94" i="6"/>
  <c r="D93" i="6"/>
  <c r="C93" i="6"/>
  <c r="B93" i="6"/>
  <c r="A93" i="6"/>
  <c r="D92" i="6"/>
  <c r="C92" i="6"/>
  <c r="B92" i="6"/>
  <c r="A92" i="6"/>
  <c r="D91" i="6"/>
  <c r="C91" i="6"/>
  <c r="B91" i="6"/>
  <c r="A91" i="6"/>
  <c r="D90" i="6"/>
  <c r="C90" i="6"/>
  <c r="B90" i="6"/>
  <c r="A90" i="6"/>
  <c r="D89" i="6"/>
  <c r="C89" i="6"/>
  <c r="B89" i="6"/>
  <c r="A89" i="6"/>
  <c r="D88" i="6"/>
  <c r="C88" i="6"/>
  <c r="B88" i="6"/>
  <c r="A88" i="6"/>
  <c r="D87" i="6"/>
  <c r="C87" i="6"/>
  <c r="B87" i="6"/>
  <c r="A87" i="6"/>
  <c r="D86" i="6"/>
  <c r="C86" i="6"/>
  <c r="B86" i="6"/>
  <c r="A86" i="6"/>
  <c r="D85" i="6"/>
  <c r="C85" i="6"/>
  <c r="B85" i="6"/>
  <c r="A85" i="6"/>
  <c r="D84" i="6"/>
  <c r="C84" i="6"/>
  <c r="B84" i="6"/>
  <c r="A84" i="6"/>
  <c r="B83" i="6"/>
  <c r="A83" i="6"/>
  <c r="D82" i="6"/>
  <c r="C82" i="6"/>
  <c r="B82" i="6"/>
  <c r="A82" i="6"/>
  <c r="D81" i="6"/>
  <c r="C81" i="6"/>
  <c r="B81" i="6"/>
  <c r="A81" i="6"/>
  <c r="D80" i="6"/>
  <c r="C80" i="6"/>
  <c r="B80" i="6"/>
  <c r="A80" i="6"/>
  <c r="D79" i="6"/>
  <c r="C79" i="6"/>
  <c r="B79" i="6"/>
  <c r="A79" i="6"/>
  <c r="D78" i="6"/>
  <c r="C78" i="6"/>
  <c r="B78" i="6"/>
  <c r="A78" i="6"/>
  <c r="D77" i="6"/>
  <c r="C77" i="6"/>
  <c r="B77" i="6"/>
  <c r="A77" i="6"/>
  <c r="D76" i="6"/>
  <c r="C76" i="6"/>
  <c r="B76" i="6"/>
  <c r="A76" i="6"/>
  <c r="D75" i="6"/>
  <c r="C75" i="6"/>
  <c r="B75" i="6"/>
  <c r="A75" i="6"/>
  <c r="D74" i="6"/>
  <c r="C74" i="6"/>
  <c r="B74" i="6"/>
  <c r="A74" i="6"/>
  <c r="D73" i="6"/>
  <c r="C73" i="6"/>
  <c r="B73" i="6"/>
  <c r="A73" i="6"/>
  <c r="D72" i="6"/>
  <c r="C72" i="6"/>
  <c r="B72" i="6"/>
  <c r="A72" i="6"/>
  <c r="D71" i="6"/>
  <c r="C71" i="6"/>
  <c r="B71" i="6"/>
  <c r="A71" i="6"/>
  <c r="D70" i="6"/>
  <c r="C70" i="6"/>
  <c r="B70" i="6"/>
  <c r="A70" i="6"/>
  <c r="D69" i="6"/>
  <c r="C69" i="6"/>
  <c r="B69" i="6"/>
  <c r="A69" i="6"/>
  <c r="D68" i="6"/>
  <c r="C68" i="6"/>
  <c r="B68" i="6"/>
  <c r="A68" i="6"/>
  <c r="D67" i="6"/>
  <c r="C67" i="6"/>
  <c r="B67" i="6"/>
  <c r="A67" i="6"/>
  <c r="B66" i="6"/>
  <c r="A66" i="6"/>
  <c r="D65" i="6"/>
  <c r="C65" i="6"/>
  <c r="B65" i="6"/>
  <c r="A65" i="6"/>
  <c r="D64" i="6"/>
  <c r="C64" i="6"/>
  <c r="B64" i="6"/>
  <c r="A64" i="6"/>
  <c r="D63" i="6"/>
  <c r="C63" i="6"/>
  <c r="B63" i="6"/>
  <c r="A63" i="6"/>
  <c r="D62" i="6"/>
  <c r="C62" i="6"/>
  <c r="B62" i="6"/>
  <c r="A62" i="6"/>
  <c r="D61" i="6"/>
  <c r="C61" i="6"/>
  <c r="B61" i="6"/>
  <c r="A61" i="6"/>
  <c r="D60" i="6"/>
  <c r="C60" i="6"/>
  <c r="B60" i="6"/>
  <c r="A60" i="6"/>
  <c r="D59" i="6"/>
  <c r="C59" i="6"/>
  <c r="B59" i="6"/>
  <c r="A59" i="6"/>
  <c r="D58" i="6"/>
  <c r="C58" i="6"/>
  <c r="B58" i="6"/>
  <c r="A58" i="6"/>
  <c r="D57" i="6"/>
  <c r="C57" i="6"/>
  <c r="B57" i="6"/>
  <c r="A57" i="6"/>
  <c r="D56" i="6"/>
  <c r="C56" i="6"/>
  <c r="B56" i="6"/>
  <c r="A56" i="6"/>
  <c r="D55" i="6"/>
  <c r="C55" i="6"/>
  <c r="B55" i="6"/>
  <c r="A55" i="6"/>
  <c r="D54" i="6"/>
  <c r="C54" i="6"/>
  <c r="B54" i="6"/>
  <c r="A54" i="6"/>
  <c r="D53" i="6"/>
  <c r="C53" i="6"/>
  <c r="B53" i="6"/>
  <c r="A53" i="6"/>
  <c r="D52" i="6"/>
  <c r="C52" i="6"/>
  <c r="B52" i="6"/>
  <c r="A52" i="6"/>
  <c r="D51" i="6"/>
  <c r="C51" i="6"/>
  <c r="B51" i="6"/>
  <c r="A51" i="6"/>
  <c r="D50" i="6"/>
  <c r="C50" i="6"/>
  <c r="B50" i="6"/>
  <c r="A50" i="6"/>
  <c r="D49" i="6"/>
  <c r="C49" i="6"/>
  <c r="B49" i="6"/>
  <c r="A49" i="6"/>
  <c r="D48" i="6"/>
  <c r="C48" i="6"/>
  <c r="B48" i="6"/>
  <c r="A48" i="6"/>
  <c r="D47" i="6"/>
  <c r="C47" i="6"/>
  <c r="B47" i="6"/>
  <c r="A47" i="6"/>
  <c r="D46" i="6"/>
  <c r="C46" i="6"/>
  <c r="B46" i="6"/>
  <c r="A46" i="6"/>
  <c r="B45" i="6"/>
  <c r="A45" i="6"/>
  <c r="D44" i="6"/>
  <c r="C44" i="6"/>
  <c r="B44" i="6"/>
  <c r="A44" i="6"/>
  <c r="D43" i="6"/>
  <c r="C43" i="6"/>
  <c r="B43" i="6"/>
  <c r="A43" i="6"/>
  <c r="D42" i="6"/>
  <c r="C42" i="6"/>
  <c r="B42" i="6"/>
  <c r="A42" i="6"/>
  <c r="D41" i="6"/>
  <c r="C41" i="6"/>
  <c r="B41" i="6"/>
  <c r="A41" i="6"/>
  <c r="D40" i="6"/>
  <c r="C40" i="6"/>
  <c r="B40" i="6"/>
  <c r="A40" i="6"/>
  <c r="D39" i="6"/>
  <c r="C39" i="6"/>
  <c r="B39" i="6"/>
  <c r="A39" i="6"/>
  <c r="D38" i="6"/>
  <c r="C38" i="6"/>
  <c r="B38" i="6"/>
  <c r="A38" i="6"/>
  <c r="D37" i="6"/>
  <c r="C37" i="6"/>
  <c r="B37" i="6"/>
  <c r="A37" i="6"/>
  <c r="D36" i="6"/>
  <c r="C36" i="6"/>
  <c r="B36" i="6"/>
  <c r="A36" i="6"/>
  <c r="D35" i="6"/>
  <c r="C35" i="6"/>
  <c r="B35" i="6"/>
  <c r="A35" i="6"/>
  <c r="D34" i="6"/>
  <c r="C34" i="6"/>
  <c r="B34" i="6"/>
  <c r="A34" i="6"/>
  <c r="D33" i="6"/>
  <c r="C33" i="6"/>
  <c r="B33" i="6"/>
  <c r="A33" i="6"/>
  <c r="D32" i="6"/>
  <c r="C32" i="6"/>
  <c r="B32" i="6"/>
  <c r="A32" i="6"/>
  <c r="D31" i="6"/>
  <c r="C31" i="6"/>
  <c r="B31" i="6"/>
  <c r="A31" i="6"/>
  <c r="D30" i="6"/>
  <c r="C30" i="6"/>
  <c r="B30" i="6"/>
  <c r="A30" i="6"/>
  <c r="D29" i="6"/>
  <c r="C29" i="6"/>
  <c r="B29" i="6"/>
  <c r="A29" i="6"/>
  <c r="D28" i="6"/>
  <c r="C28" i="6"/>
  <c r="B28" i="6"/>
  <c r="A28" i="6"/>
  <c r="D27" i="6"/>
  <c r="C27" i="6"/>
  <c r="B27" i="6"/>
  <c r="A27" i="6"/>
  <c r="D26" i="6"/>
  <c r="C26" i="6"/>
  <c r="B26" i="6"/>
  <c r="A26" i="6"/>
  <c r="D25" i="6"/>
  <c r="C25" i="6"/>
  <c r="B25" i="6"/>
  <c r="A25" i="6"/>
  <c r="D24" i="6"/>
  <c r="C24" i="6"/>
  <c r="B24" i="6"/>
  <c r="A24" i="6"/>
  <c r="D23" i="6"/>
  <c r="C23" i="6"/>
  <c r="B23" i="6"/>
  <c r="A23" i="6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B16" i="6"/>
  <c r="A16" i="6"/>
  <c r="D15" i="6"/>
  <c r="C15" i="6"/>
  <c r="B15" i="6"/>
  <c r="A15" i="6"/>
  <c r="D14" i="6"/>
  <c r="C14" i="6"/>
  <c r="B14" i="6"/>
  <c r="A14" i="6"/>
  <c r="D13" i="6"/>
  <c r="C13" i="6"/>
  <c r="B13" i="6"/>
  <c r="A13" i="6"/>
  <c r="D12" i="6"/>
  <c r="C12" i="6"/>
  <c r="B12" i="6"/>
  <c r="A12" i="6"/>
  <c r="D11" i="6"/>
  <c r="C11" i="6"/>
  <c r="B11" i="6"/>
  <c r="A11" i="6"/>
  <c r="D10" i="6"/>
  <c r="C10" i="6"/>
  <c r="B10" i="6"/>
  <c r="A10" i="6"/>
  <c r="B9" i="6"/>
  <c r="A9" i="6"/>
  <c r="B8" i="6"/>
  <c r="A8" i="6"/>
  <c r="B7" i="6"/>
  <c r="A7" i="6"/>
  <c r="D139" i="5"/>
  <c r="C139" i="5"/>
  <c r="B139" i="5"/>
  <c r="A139" i="5"/>
  <c r="D138" i="5"/>
  <c r="C138" i="5"/>
  <c r="B138" i="5"/>
  <c r="A138" i="5"/>
  <c r="D137" i="5"/>
  <c r="C137" i="5"/>
  <c r="B137" i="5"/>
  <c r="A137" i="5"/>
  <c r="D136" i="5"/>
  <c r="C136" i="5"/>
  <c r="B136" i="5"/>
  <c r="A136" i="5"/>
  <c r="D135" i="5"/>
  <c r="C135" i="5"/>
  <c r="B135" i="5"/>
  <c r="A135" i="5"/>
  <c r="D134" i="5"/>
  <c r="C134" i="5"/>
  <c r="B134" i="5"/>
  <c r="A134" i="5"/>
  <c r="D133" i="5"/>
  <c r="C133" i="5"/>
  <c r="B133" i="5"/>
  <c r="A133" i="5"/>
  <c r="D132" i="5"/>
  <c r="C132" i="5"/>
  <c r="B132" i="5"/>
  <c r="A132" i="5"/>
  <c r="D131" i="5"/>
  <c r="C131" i="5"/>
  <c r="B131" i="5"/>
  <c r="A131" i="5"/>
  <c r="D130" i="5"/>
  <c r="C130" i="5"/>
  <c r="B130" i="5"/>
  <c r="A130" i="5"/>
  <c r="D129" i="5"/>
  <c r="C129" i="5"/>
  <c r="B129" i="5"/>
  <c r="A129" i="5"/>
  <c r="D128" i="5"/>
  <c r="C128" i="5"/>
  <c r="B128" i="5"/>
  <c r="A128" i="5"/>
  <c r="D127" i="5"/>
  <c r="C127" i="5"/>
  <c r="B127" i="5"/>
  <c r="A127" i="5"/>
  <c r="D126" i="5"/>
  <c r="C126" i="5"/>
  <c r="B126" i="5"/>
  <c r="A126" i="5"/>
  <c r="D125" i="5"/>
  <c r="C125" i="5"/>
  <c r="B125" i="5"/>
  <c r="A125" i="5"/>
  <c r="D124" i="5"/>
  <c r="C124" i="5"/>
  <c r="B124" i="5"/>
  <c r="A124" i="5"/>
  <c r="D123" i="5"/>
  <c r="C123" i="5"/>
  <c r="B123" i="5"/>
  <c r="A123" i="5"/>
  <c r="B122" i="5"/>
  <c r="A122" i="5"/>
  <c r="D121" i="5"/>
  <c r="C121" i="5"/>
  <c r="B121" i="5"/>
  <c r="A121" i="5"/>
  <c r="D120" i="5"/>
  <c r="C120" i="5"/>
  <c r="B120" i="5"/>
  <c r="A120" i="5"/>
  <c r="D119" i="5"/>
  <c r="C119" i="5"/>
  <c r="B119" i="5"/>
  <c r="A119" i="5"/>
  <c r="D118" i="5"/>
  <c r="C118" i="5"/>
  <c r="B118" i="5"/>
  <c r="A118" i="5"/>
  <c r="D117" i="5"/>
  <c r="C117" i="5"/>
  <c r="B117" i="5"/>
  <c r="A117" i="5"/>
  <c r="D116" i="5"/>
  <c r="C116" i="5"/>
  <c r="B116" i="5"/>
  <c r="A116" i="5"/>
  <c r="D115" i="5"/>
  <c r="C115" i="5"/>
  <c r="B115" i="5"/>
  <c r="A115" i="5"/>
  <c r="D114" i="5"/>
  <c r="C114" i="5"/>
  <c r="B114" i="5"/>
  <c r="A114" i="5"/>
  <c r="D113" i="5"/>
  <c r="C113" i="5"/>
  <c r="B113" i="5"/>
  <c r="A113" i="5"/>
  <c r="D112" i="5"/>
  <c r="C112" i="5"/>
  <c r="B112" i="5"/>
  <c r="A112" i="5"/>
  <c r="D111" i="5"/>
  <c r="C111" i="5"/>
  <c r="B111" i="5"/>
  <c r="A111" i="5"/>
  <c r="D110" i="5"/>
  <c r="C110" i="5"/>
  <c r="B110" i="5"/>
  <c r="A110" i="5"/>
  <c r="D109" i="5"/>
  <c r="C109" i="5"/>
  <c r="B109" i="5"/>
  <c r="A109" i="5"/>
  <c r="D108" i="5"/>
  <c r="C108" i="5"/>
  <c r="B108" i="5"/>
  <c r="A108" i="5"/>
  <c r="D107" i="5"/>
  <c r="C107" i="5"/>
  <c r="B107" i="5"/>
  <c r="A107" i="5"/>
  <c r="D106" i="5"/>
  <c r="C106" i="5"/>
  <c r="B106" i="5"/>
  <c r="A106" i="5"/>
  <c r="D105" i="5"/>
  <c r="C105" i="5"/>
  <c r="B105" i="5"/>
  <c r="A105" i="5"/>
  <c r="D104" i="5"/>
  <c r="C104" i="5"/>
  <c r="B104" i="5"/>
  <c r="A104" i="5"/>
  <c r="D103" i="5"/>
  <c r="C103" i="5"/>
  <c r="B103" i="5"/>
  <c r="A103" i="5"/>
  <c r="D102" i="5"/>
  <c r="C102" i="5"/>
  <c r="B102" i="5"/>
  <c r="A102" i="5"/>
  <c r="D101" i="5"/>
  <c r="C101" i="5"/>
  <c r="B101" i="5"/>
  <c r="A101" i="5"/>
  <c r="D100" i="5"/>
  <c r="C100" i="5"/>
  <c r="B100" i="5"/>
  <c r="A100" i="5"/>
  <c r="D99" i="5"/>
  <c r="C99" i="5"/>
  <c r="B99" i="5"/>
  <c r="A99" i="5"/>
  <c r="D98" i="5"/>
  <c r="C98" i="5"/>
  <c r="B98" i="5"/>
  <c r="A98" i="5"/>
  <c r="B97" i="5"/>
  <c r="A97" i="5"/>
  <c r="B96" i="5"/>
  <c r="A96" i="5"/>
  <c r="D95" i="5"/>
  <c r="C95" i="5"/>
  <c r="B95" i="5"/>
  <c r="A95" i="5"/>
  <c r="D94" i="5"/>
  <c r="C94" i="5"/>
  <c r="B94" i="5"/>
  <c r="A94" i="5"/>
  <c r="D93" i="5"/>
  <c r="C93" i="5"/>
  <c r="B93" i="5"/>
  <c r="A93" i="5"/>
  <c r="D92" i="5"/>
  <c r="C92" i="5"/>
  <c r="B92" i="5"/>
  <c r="A92" i="5"/>
  <c r="D91" i="5"/>
  <c r="C91" i="5"/>
  <c r="B91" i="5"/>
  <c r="A91" i="5"/>
  <c r="D90" i="5"/>
  <c r="C90" i="5"/>
  <c r="B90" i="5"/>
  <c r="A90" i="5"/>
  <c r="D89" i="5"/>
  <c r="C89" i="5"/>
  <c r="B89" i="5"/>
  <c r="A89" i="5"/>
  <c r="D88" i="5"/>
  <c r="C88" i="5"/>
  <c r="B88" i="5"/>
  <c r="A88" i="5"/>
  <c r="D87" i="5"/>
  <c r="C87" i="5"/>
  <c r="B87" i="5"/>
  <c r="A87" i="5"/>
  <c r="D86" i="5"/>
  <c r="C86" i="5"/>
  <c r="B86" i="5"/>
  <c r="A86" i="5"/>
  <c r="D85" i="5"/>
  <c r="C85" i="5"/>
  <c r="B85" i="5"/>
  <c r="A85" i="5"/>
  <c r="D84" i="5"/>
  <c r="C84" i="5"/>
  <c r="B84" i="5"/>
  <c r="A84" i="5"/>
  <c r="B83" i="5"/>
  <c r="A83" i="5"/>
  <c r="D82" i="5"/>
  <c r="C82" i="5"/>
  <c r="B82" i="5"/>
  <c r="A82" i="5"/>
  <c r="D81" i="5"/>
  <c r="C81" i="5"/>
  <c r="B81" i="5"/>
  <c r="A81" i="5"/>
  <c r="D80" i="5"/>
  <c r="C80" i="5"/>
  <c r="B80" i="5"/>
  <c r="A80" i="5"/>
  <c r="D79" i="5"/>
  <c r="C79" i="5"/>
  <c r="B79" i="5"/>
  <c r="A79" i="5"/>
  <c r="D78" i="5"/>
  <c r="C78" i="5"/>
  <c r="B78" i="5"/>
  <c r="A78" i="5"/>
  <c r="D77" i="5"/>
  <c r="C77" i="5"/>
  <c r="B77" i="5"/>
  <c r="A77" i="5"/>
  <c r="D76" i="5"/>
  <c r="C76" i="5"/>
  <c r="B76" i="5"/>
  <c r="A76" i="5"/>
  <c r="D75" i="5"/>
  <c r="C75" i="5"/>
  <c r="B75" i="5"/>
  <c r="A75" i="5"/>
  <c r="D74" i="5"/>
  <c r="C74" i="5"/>
  <c r="B74" i="5"/>
  <c r="A74" i="5"/>
  <c r="D73" i="5"/>
  <c r="C73" i="5"/>
  <c r="B73" i="5"/>
  <c r="A73" i="5"/>
  <c r="D72" i="5"/>
  <c r="C72" i="5"/>
  <c r="B72" i="5"/>
  <c r="A72" i="5"/>
  <c r="D71" i="5"/>
  <c r="C71" i="5"/>
  <c r="B71" i="5"/>
  <c r="A71" i="5"/>
  <c r="D70" i="5"/>
  <c r="C70" i="5"/>
  <c r="B70" i="5"/>
  <c r="A70" i="5"/>
  <c r="D69" i="5"/>
  <c r="C69" i="5"/>
  <c r="B69" i="5"/>
  <c r="A69" i="5"/>
  <c r="D68" i="5"/>
  <c r="C68" i="5"/>
  <c r="B68" i="5"/>
  <c r="A68" i="5"/>
  <c r="D67" i="5"/>
  <c r="C67" i="5"/>
  <c r="B67" i="5"/>
  <c r="A67" i="5"/>
  <c r="B66" i="5"/>
  <c r="A66" i="5"/>
  <c r="D65" i="5"/>
  <c r="C65" i="5"/>
  <c r="B65" i="5"/>
  <c r="A65" i="5"/>
  <c r="D64" i="5"/>
  <c r="C64" i="5"/>
  <c r="B64" i="5"/>
  <c r="A64" i="5"/>
  <c r="D63" i="5"/>
  <c r="C63" i="5"/>
  <c r="B63" i="5"/>
  <c r="A63" i="5"/>
  <c r="D62" i="5"/>
  <c r="C62" i="5"/>
  <c r="B62" i="5"/>
  <c r="A62" i="5"/>
  <c r="D61" i="5"/>
  <c r="C61" i="5"/>
  <c r="B61" i="5"/>
  <c r="A61" i="5"/>
  <c r="D60" i="5"/>
  <c r="C60" i="5"/>
  <c r="B60" i="5"/>
  <c r="A60" i="5"/>
  <c r="D59" i="5"/>
  <c r="C59" i="5"/>
  <c r="B59" i="5"/>
  <c r="A59" i="5"/>
  <c r="D58" i="5"/>
  <c r="C58" i="5"/>
  <c r="B58" i="5"/>
  <c r="A58" i="5"/>
  <c r="D57" i="5"/>
  <c r="C57" i="5"/>
  <c r="B57" i="5"/>
  <c r="A57" i="5"/>
  <c r="D56" i="5"/>
  <c r="C56" i="5"/>
  <c r="B56" i="5"/>
  <c r="A56" i="5"/>
  <c r="D55" i="5"/>
  <c r="C55" i="5"/>
  <c r="B55" i="5"/>
  <c r="A55" i="5"/>
  <c r="D54" i="5"/>
  <c r="C54" i="5"/>
  <c r="B54" i="5"/>
  <c r="A54" i="5"/>
  <c r="D53" i="5"/>
  <c r="C53" i="5"/>
  <c r="B53" i="5"/>
  <c r="A53" i="5"/>
  <c r="D52" i="5"/>
  <c r="C52" i="5"/>
  <c r="B52" i="5"/>
  <c r="A52" i="5"/>
  <c r="D51" i="5"/>
  <c r="C51" i="5"/>
  <c r="B51" i="5"/>
  <c r="A51" i="5"/>
  <c r="D50" i="5"/>
  <c r="C50" i="5"/>
  <c r="B50" i="5"/>
  <c r="A50" i="5"/>
  <c r="D49" i="5"/>
  <c r="C49" i="5"/>
  <c r="B49" i="5"/>
  <c r="A49" i="5"/>
  <c r="D48" i="5"/>
  <c r="C48" i="5"/>
  <c r="B48" i="5"/>
  <c r="A48" i="5"/>
  <c r="D47" i="5"/>
  <c r="C47" i="5"/>
  <c r="B47" i="5"/>
  <c r="A47" i="5"/>
  <c r="D46" i="5"/>
  <c r="C46" i="5"/>
  <c r="B46" i="5"/>
  <c r="A46" i="5"/>
  <c r="B45" i="5"/>
  <c r="A45" i="5"/>
  <c r="D44" i="5"/>
  <c r="C44" i="5"/>
  <c r="B44" i="5"/>
  <c r="A44" i="5"/>
  <c r="D43" i="5"/>
  <c r="C43" i="5"/>
  <c r="B43" i="5"/>
  <c r="A43" i="5"/>
  <c r="D42" i="5"/>
  <c r="C42" i="5"/>
  <c r="B42" i="5"/>
  <c r="A42" i="5"/>
  <c r="D41" i="5"/>
  <c r="C41" i="5"/>
  <c r="B41" i="5"/>
  <c r="A41" i="5"/>
  <c r="D40" i="5"/>
  <c r="C40" i="5"/>
  <c r="B40" i="5"/>
  <c r="A40" i="5"/>
  <c r="D39" i="5"/>
  <c r="C39" i="5"/>
  <c r="B39" i="5"/>
  <c r="A39" i="5"/>
  <c r="D38" i="5"/>
  <c r="C38" i="5"/>
  <c r="B38" i="5"/>
  <c r="A38" i="5"/>
  <c r="D37" i="5"/>
  <c r="C37" i="5"/>
  <c r="B37" i="5"/>
  <c r="A37" i="5"/>
  <c r="D36" i="5"/>
  <c r="C36" i="5"/>
  <c r="B36" i="5"/>
  <c r="A36" i="5"/>
  <c r="D35" i="5"/>
  <c r="C35" i="5"/>
  <c r="B35" i="5"/>
  <c r="A35" i="5"/>
  <c r="D34" i="5"/>
  <c r="C34" i="5"/>
  <c r="B34" i="5"/>
  <c r="A34" i="5"/>
  <c r="D33" i="5"/>
  <c r="C33" i="5"/>
  <c r="B33" i="5"/>
  <c r="A33" i="5"/>
  <c r="D32" i="5"/>
  <c r="C32" i="5"/>
  <c r="B32" i="5"/>
  <c r="A32" i="5"/>
  <c r="D31" i="5"/>
  <c r="C31" i="5"/>
  <c r="B31" i="5"/>
  <c r="A31" i="5"/>
  <c r="D30" i="5"/>
  <c r="C30" i="5"/>
  <c r="B30" i="5"/>
  <c r="A30" i="5"/>
  <c r="D29" i="5"/>
  <c r="C29" i="5"/>
  <c r="B29" i="5"/>
  <c r="A29" i="5"/>
  <c r="D28" i="5"/>
  <c r="C28" i="5"/>
  <c r="B28" i="5"/>
  <c r="A28" i="5"/>
  <c r="D27" i="5"/>
  <c r="C27" i="5"/>
  <c r="B27" i="5"/>
  <c r="A27" i="5"/>
  <c r="D26" i="5"/>
  <c r="C26" i="5"/>
  <c r="B26" i="5"/>
  <c r="A26" i="5"/>
  <c r="D25" i="5"/>
  <c r="C25" i="5"/>
  <c r="B25" i="5"/>
  <c r="A25" i="5"/>
  <c r="D24" i="5"/>
  <c r="C24" i="5"/>
  <c r="B24" i="5"/>
  <c r="A24" i="5"/>
  <c r="D23" i="5"/>
  <c r="C23" i="5"/>
  <c r="B23" i="5"/>
  <c r="A23" i="5"/>
  <c r="D22" i="5"/>
  <c r="C22" i="5"/>
  <c r="B22" i="5"/>
  <c r="A22" i="5"/>
  <c r="D21" i="5"/>
  <c r="C21" i="5"/>
  <c r="B21" i="5"/>
  <c r="A21" i="5"/>
  <c r="D20" i="5"/>
  <c r="C20" i="5"/>
  <c r="B20" i="5"/>
  <c r="A20" i="5"/>
  <c r="D19" i="5"/>
  <c r="C19" i="5"/>
  <c r="B19" i="5"/>
  <c r="A19" i="5"/>
  <c r="D18" i="5"/>
  <c r="C18" i="5"/>
  <c r="B18" i="5"/>
  <c r="A18" i="5"/>
  <c r="D17" i="5"/>
  <c r="C17" i="5"/>
  <c r="B17" i="5"/>
  <c r="A17" i="5"/>
  <c r="D16" i="5"/>
  <c r="C16" i="5"/>
  <c r="B16" i="5"/>
  <c r="A16" i="5"/>
  <c r="D15" i="5"/>
  <c r="C15" i="5"/>
  <c r="B15" i="5"/>
  <c r="A15" i="5"/>
  <c r="D14" i="5"/>
  <c r="C14" i="5"/>
  <c r="B14" i="5"/>
  <c r="A14" i="5"/>
  <c r="D13" i="5"/>
  <c r="C13" i="5"/>
  <c r="B13" i="5"/>
  <c r="A13" i="5"/>
  <c r="D12" i="5"/>
  <c r="C12" i="5"/>
  <c r="B12" i="5"/>
  <c r="A12" i="5"/>
  <c r="D11" i="5"/>
  <c r="C11" i="5"/>
  <c r="B11" i="5"/>
  <c r="A11" i="5"/>
  <c r="D10" i="5"/>
  <c r="C10" i="5"/>
  <c r="B10" i="5"/>
  <c r="A10" i="5"/>
  <c r="B9" i="5"/>
  <c r="A9" i="5"/>
  <c r="B8" i="5"/>
  <c r="A8" i="5"/>
  <c r="B7" i="5"/>
  <c r="A7" i="5"/>
  <c r="I84" i="4"/>
  <c r="J84" i="4"/>
  <c r="K84" i="4"/>
  <c r="L84" i="4"/>
  <c r="M84" i="4"/>
  <c r="N84" i="4"/>
  <c r="O84" i="4"/>
  <c r="P84" i="4"/>
  <c r="Q84" i="4"/>
  <c r="H84" i="4"/>
  <c r="F90" i="4"/>
  <c r="H90" i="12" s="1"/>
  <c r="A90" i="4"/>
  <c r="B90" i="4"/>
  <c r="C90" i="4"/>
  <c r="D90" i="4"/>
  <c r="B83" i="4"/>
  <c r="A25" i="4"/>
  <c r="B25" i="4"/>
  <c r="C25" i="4"/>
  <c r="D25" i="4"/>
  <c r="A26" i="4"/>
  <c r="B26" i="4"/>
  <c r="C26" i="4"/>
  <c r="D26" i="4"/>
  <c r="A27" i="4"/>
  <c r="B27" i="4"/>
  <c r="C27" i="4"/>
  <c r="D27" i="4"/>
  <c r="A28" i="4"/>
  <c r="B28" i="4"/>
  <c r="C28" i="4"/>
  <c r="D28" i="4"/>
  <c r="A29" i="4"/>
  <c r="B29" i="4"/>
  <c r="C29" i="4"/>
  <c r="D29" i="4"/>
  <c r="A30" i="4"/>
  <c r="B30" i="4"/>
  <c r="C30" i="4"/>
  <c r="D30" i="4"/>
  <c r="A31" i="4"/>
  <c r="B31" i="4"/>
  <c r="C31" i="4"/>
  <c r="D31" i="4"/>
  <c r="A32" i="4"/>
  <c r="B32" i="4"/>
  <c r="C32" i="4"/>
  <c r="D32" i="4"/>
  <c r="A33" i="4"/>
  <c r="B33" i="4"/>
  <c r="C33" i="4"/>
  <c r="D33" i="4"/>
  <c r="A34" i="4"/>
  <c r="B34" i="4"/>
  <c r="C34" i="4"/>
  <c r="D34" i="4"/>
  <c r="A35" i="4"/>
  <c r="B35" i="4"/>
  <c r="C35" i="4"/>
  <c r="D35" i="4"/>
  <c r="A36" i="4"/>
  <c r="B36" i="4"/>
  <c r="C36" i="4"/>
  <c r="D36" i="4"/>
  <c r="A37" i="4"/>
  <c r="B37" i="4"/>
  <c r="C37" i="4"/>
  <c r="D37" i="4"/>
  <c r="A38" i="4"/>
  <c r="B38" i="4"/>
  <c r="C38" i="4"/>
  <c r="D38" i="4"/>
  <c r="A39" i="4"/>
  <c r="B39" i="4"/>
  <c r="C39" i="4"/>
  <c r="D39" i="4"/>
  <c r="A40" i="4"/>
  <c r="B40" i="4"/>
  <c r="C40" i="4"/>
  <c r="D40" i="4"/>
  <c r="A41" i="4"/>
  <c r="B41" i="4"/>
  <c r="C41" i="4"/>
  <c r="D41" i="4"/>
  <c r="A42" i="4"/>
  <c r="B42" i="4"/>
  <c r="C42" i="4"/>
  <c r="D42" i="4"/>
  <c r="A43" i="4"/>
  <c r="B43" i="4"/>
  <c r="C43" i="4"/>
  <c r="D43" i="4"/>
  <c r="A44" i="4"/>
  <c r="B44" i="4"/>
  <c r="C44" i="4"/>
  <c r="D44" i="4"/>
  <c r="A45" i="4"/>
  <c r="B45" i="4"/>
  <c r="A46" i="4"/>
  <c r="B46" i="4"/>
  <c r="C46" i="4"/>
  <c r="D46" i="4"/>
  <c r="A47" i="4"/>
  <c r="B47" i="4"/>
  <c r="C47" i="4"/>
  <c r="D47" i="4"/>
  <c r="A48" i="4"/>
  <c r="B48" i="4"/>
  <c r="C48" i="4"/>
  <c r="D48" i="4"/>
  <c r="A49" i="4"/>
  <c r="B49" i="4"/>
  <c r="C49" i="4"/>
  <c r="D49" i="4"/>
  <c r="A50" i="4"/>
  <c r="B50" i="4"/>
  <c r="C50" i="4"/>
  <c r="D50" i="4"/>
  <c r="A51" i="4"/>
  <c r="B51" i="4"/>
  <c r="C51" i="4"/>
  <c r="D51" i="4"/>
  <c r="A52" i="4"/>
  <c r="B52" i="4"/>
  <c r="C52" i="4"/>
  <c r="D52" i="4"/>
  <c r="A53" i="4"/>
  <c r="B53" i="4"/>
  <c r="C53" i="4"/>
  <c r="D53" i="4"/>
  <c r="A54" i="4"/>
  <c r="B54" i="4"/>
  <c r="C54" i="4"/>
  <c r="D54" i="4"/>
  <c r="A55" i="4"/>
  <c r="B55" i="4"/>
  <c r="C55" i="4"/>
  <c r="D55" i="4"/>
  <c r="A56" i="4"/>
  <c r="B56" i="4"/>
  <c r="C56" i="4"/>
  <c r="D56" i="4"/>
  <c r="A57" i="4"/>
  <c r="B57" i="4"/>
  <c r="C57" i="4"/>
  <c r="D57" i="4"/>
  <c r="A58" i="4"/>
  <c r="B58" i="4"/>
  <c r="C58" i="4"/>
  <c r="D58" i="4"/>
  <c r="A59" i="4"/>
  <c r="B59" i="4"/>
  <c r="C59" i="4"/>
  <c r="D59" i="4"/>
  <c r="A60" i="4"/>
  <c r="B60" i="4"/>
  <c r="C60" i="4"/>
  <c r="D60" i="4"/>
  <c r="A61" i="4"/>
  <c r="B61" i="4"/>
  <c r="C61" i="4"/>
  <c r="D61" i="4"/>
  <c r="A62" i="4"/>
  <c r="B62" i="4"/>
  <c r="C62" i="4"/>
  <c r="D62" i="4"/>
  <c r="A63" i="4"/>
  <c r="B63" i="4"/>
  <c r="C63" i="4"/>
  <c r="D63" i="4"/>
  <c r="A64" i="4"/>
  <c r="B64" i="4"/>
  <c r="C64" i="4"/>
  <c r="D64" i="4"/>
  <c r="A65" i="4"/>
  <c r="B65" i="4"/>
  <c r="C65" i="4"/>
  <c r="D65" i="4"/>
  <c r="A66" i="4"/>
  <c r="B66" i="4"/>
  <c r="A67" i="4"/>
  <c r="B67" i="4"/>
  <c r="C67" i="4"/>
  <c r="D67" i="4"/>
  <c r="A68" i="4"/>
  <c r="B68" i="4"/>
  <c r="C68" i="4"/>
  <c r="D68" i="4"/>
  <c r="A69" i="4"/>
  <c r="B69" i="4"/>
  <c r="C69" i="4"/>
  <c r="D69" i="4"/>
  <c r="A70" i="4"/>
  <c r="B70" i="4"/>
  <c r="C70" i="4"/>
  <c r="D70" i="4"/>
  <c r="A71" i="4"/>
  <c r="B71" i="4"/>
  <c r="C71" i="4"/>
  <c r="D71" i="4"/>
  <c r="A72" i="4"/>
  <c r="B72" i="4"/>
  <c r="C72" i="4"/>
  <c r="D72" i="4"/>
  <c r="A73" i="4"/>
  <c r="B73" i="4"/>
  <c r="C73" i="4"/>
  <c r="D73" i="4"/>
  <c r="A74" i="4"/>
  <c r="B74" i="4"/>
  <c r="C74" i="4"/>
  <c r="D74" i="4"/>
  <c r="A75" i="4"/>
  <c r="B75" i="4"/>
  <c r="C75" i="4"/>
  <c r="D75" i="4"/>
  <c r="A76" i="4"/>
  <c r="B76" i="4"/>
  <c r="C76" i="4"/>
  <c r="D76" i="4"/>
  <c r="A77" i="4"/>
  <c r="B77" i="4"/>
  <c r="C77" i="4"/>
  <c r="D77" i="4"/>
  <c r="A78" i="4"/>
  <c r="B78" i="4"/>
  <c r="C78" i="4"/>
  <c r="D78" i="4"/>
  <c r="A79" i="4"/>
  <c r="B79" i="4"/>
  <c r="C79" i="4"/>
  <c r="D79" i="4"/>
  <c r="A80" i="4"/>
  <c r="B80" i="4"/>
  <c r="C80" i="4"/>
  <c r="D80" i="4"/>
  <c r="A81" i="4"/>
  <c r="B81" i="4"/>
  <c r="C81" i="4"/>
  <c r="D81" i="4"/>
  <c r="A82" i="4"/>
  <c r="B82" i="4"/>
  <c r="C82" i="4"/>
  <c r="D82" i="4"/>
  <c r="A83" i="4"/>
  <c r="A84" i="4"/>
  <c r="B84" i="4"/>
  <c r="C84" i="4"/>
  <c r="D84" i="4"/>
  <c r="A85" i="4"/>
  <c r="B85" i="4"/>
  <c r="C85" i="4"/>
  <c r="D85" i="4"/>
  <c r="A86" i="4"/>
  <c r="B86" i="4"/>
  <c r="C86" i="4"/>
  <c r="D86" i="4"/>
  <c r="A87" i="4"/>
  <c r="B87" i="4"/>
  <c r="C87" i="4"/>
  <c r="D87" i="4"/>
  <c r="A88" i="4"/>
  <c r="B88" i="4"/>
  <c r="C88" i="4"/>
  <c r="D88" i="4"/>
  <c r="A89" i="4"/>
  <c r="B89" i="4"/>
  <c r="C89" i="4"/>
  <c r="D89" i="4"/>
  <c r="A91" i="4"/>
  <c r="B91" i="4"/>
  <c r="C91" i="4"/>
  <c r="D91" i="4"/>
  <c r="A92" i="4"/>
  <c r="B92" i="4"/>
  <c r="C92" i="4"/>
  <c r="D92" i="4"/>
  <c r="A93" i="4"/>
  <c r="B93" i="4"/>
  <c r="C93" i="4"/>
  <c r="D93" i="4"/>
  <c r="A94" i="4"/>
  <c r="B94" i="4"/>
  <c r="C94" i="4"/>
  <c r="D94" i="4"/>
  <c r="A95" i="4"/>
  <c r="B95" i="4"/>
  <c r="C95" i="4"/>
  <c r="D95" i="4"/>
  <c r="A96" i="4"/>
  <c r="B96" i="4"/>
  <c r="A97" i="4"/>
  <c r="B97" i="4"/>
  <c r="A98" i="4"/>
  <c r="B98" i="4"/>
  <c r="C98" i="4"/>
  <c r="D98" i="4"/>
  <c r="A99" i="4"/>
  <c r="B99" i="4"/>
  <c r="C99" i="4"/>
  <c r="D99" i="4"/>
  <c r="A100" i="4"/>
  <c r="B100" i="4"/>
  <c r="C100" i="4"/>
  <c r="D100" i="4"/>
  <c r="A101" i="4"/>
  <c r="B101" i="4"/>
  <c r="C101" i="4"/>
  <c r="D101" i="4"/>
  <c r="A102" i="4"/>
  <c r="B102" i="4"/>
  <c r="C102" i="4"/>
  <c r="D102" i="4"/>
  <c r="A103" i="4"/>
  <c r="B103" i="4"/>
  <c r="C103" i="4"/>
  <c r="D103" i="4"/>
  <c r="A104" i="4"/>
  <c r="B104" i="4"/>
  <c r="C104" i="4"/>
  <c r="D104" i="4"/>
  <c r="A105" i="4"/>
  <c r="B105" i="4"/>
  <c r="C105" i="4"/>
  <c r="D105" i="4"/>
  <c r="A106" i="4"/>
  <c r="B106" i="4"/>
  <c r="C106" i="4"/>
  <c r="D106" i="4"/>
  <c r="A107" i="4"/>
  <c r="B107" i="4"/>
  <c r="C107" i="4"/>
  <c r="D107" i="4"/>
  <c r="A108" i="4"/>
  <c r="B108" i="4"/>
  <c r="C108" i="4"/>
  <c r="D108" i="4"/>
  <c r="A109" i="4"/>
  <c r="B109" i="4"/>
  <c r="C109" i="4"/>
  <c r="D109" i="4"/>
  <c r="A110" i="4"/>
  <c r="B110" i="4"/>
  <c r="C110" i="4"/>
  <c r="D110" i="4"/>
  <c r="A111" i="4"/>
  <c r="B111" i="4"/>
  <c r="C111" i="4"/>
  <c r="D111" i="4"/>
  <c r="A112" i="4"/>
  <c r="B112" i="4"/>
  <c r="C112" i="4"/>
  <c r="D112" i="4"/>
  <c r="A113" i="4"/>
  <c r="B113" i="4"/>
  <c r="C113" i="4"/>
  <c r="D113" i="4"/>
  <c r="A114" i="4"/>
  <c r="B114" i="4"/>
  <c r="C114" i="4"/>
  <c r="D114" i="4"/>
  <c r="A115" i="4"/>
  <c r="B115" i="4"/>
  <c r="C115" i="4"/>
  <c r="D115" i="4"/>
  <c r="A116" i="4"/>
  <c r="B116" i="4"/>
  <c r="C116" i="4"/>
  <c r="D116" i="4"/>
  <c r="A117" i="4"/>
  <c r="B117" i="4"/>
  <c r="C117" i="4"/>
  <c r="D117" i="4"/>
  <c r="A118" i="4"/>
  <c r="B118" i="4"/>
  <c r="C118" i="4"/>
  <c r="D118" i="4"/>
  <c r="A119" i="4"/>
  <c r="B119" i="4"/>
  <c r="C119" i="4"/>
  <c r="D119" i="4"/>
  <c r="A120" i="4"/>
  <c r="B120" i="4"/>
  <c r="C120" i="4"/>
  <c r="D120" i="4"/>
  <c r="A121" i="4"/>
  <c r="B121" i="4"/>
  <c r="C121" i="4"/>
  <c r="D121" i="4"/>
  <c r="A122" i="4"/>
  <c r="B122" i="4"/>
  <c r="A123" i="4"/>
  <c r="B123" i="4"/>
  <c r="C123" i="4"/>
  <c r="D123" i="4"/>
  <c r="A124" i="4"/>
  <c r="B124" i="4"/>
  <c r="C124" i="4"/>
  <c r="D124" i="4"/>
  <c r="A125" i="4"/>
  <c r="B125" i="4"/>
  <c r="C125" i="4"/>
  <c r="D125" i="4"/>
  <c r="A126" i="4"/>
  <c r="B126" i="4"/>
  <c r="C126" i="4"/>
  <c r="D126" i="4"/>
  <c r="A127" i="4"/>
  <c r="B127" i="4"/>
  <c r="C127" i="4"/>
  <c r="D127" i="4"/>
  <c r="A128" i="4"/>
  <c r="B128" i="4"/>
  <c r="C128" i="4"/>
  <c r="D128" i="4"/>
  <c r="A129" i="4"/>
  <c r="B129" i="4"/>
  <c r="C129" i="4"/>
  <c r="D129" i="4"/>
  <c r="A130" i="4"/>
  <c r="B130" i="4"/>
  <c r="C130" i="4"/>
  <c r="D130" i="4"/>
  <c r="A131" i="4"/>
  <c r="B131" i="4"/>
  <c r="C131" i="4"/>
  <c r="D131" i="4"/>
  <c r="A132" i="4"/>
  <c r="B132" i="4"/>
  <c r="C132" i="4"/>
  <c r="D132" i="4"/>
  <c r="A133" i="4"/>
  <c r="B133" i="4"/>
  <c r="C133" i="4"/>
  <c r="D133" i="4"/>
  <c r="A134" i="4"/>
  <c r="B134" i="4"/>
  <c r="C134" i="4"/>
  <c r="D134" i="4"/>
  <c r="A135" i="4"/>
  <c r="B135" i="4"/>
  <c r="C135" i="4"/>
  <c r="D135" i="4"/>
  <c r="A136" i="4"/>
  <c r="B136" i="4"/>
  <c r="C136" i="4"/>
  <c r="D136" i="4"/>
  <c r="A137" i="4"/>
  <c r="B137" i="4"/>
  <c r="C137" i="4"/>
  <c r="D137" i="4"/>
  <c r="A138" i="4"/>
  <c r="B138" i="4"/>
  <c r="C138" i="4"/>
  <c r="D138" i="4"/>
  <c r="A139" i="4"/>
  <c r="B139" i="4"/>
  <c r="C139" i="4"/>
  <c r="D139" i="4"/>
  <c r="A24" i="4"/>
  <c r="B24" i="4"/>
  <c r="C24" i="4"/>
  <c r="D24" i="4"/>
  <c r="A21" i="4"/>
  <c r="B21" i="4"/>
  <c r="C21" i="4"/>
  <c r="D21" i="4"/>
  <c r="A22" i="4"/>
  <c r="B22" i="4"/>
  <c r="C22" i="4"/>
  <c r="D22" i="4"/>
  <c r="A23" i="4"/>
  <c r="B23" i="4"/>
  <c r="C23" i="4"/>
  <c r="D23" i="4"/>
  <c r="A18" i="4"/>
  <c r="B18" i="4"/>
  <c r="C18" i="4"/>
  <c r="D18" i="4"/>
  <c r="A19" i="4"/>
  <c r="B19" i="4"/>
  <c r="C19" i="4"/>
  <c r="D19" i="4"/>
  <c r="A20" i="4"/>
  <c r="B20" i="4"/>
  <c r="C20" i="4"/>
  <c r="D20" i="4"/>
  <c r="A15" i="4"/>
  <c r="B15" i="4"/>
  <c r="C15" i="4"/>
  <c r="D15" i="4"/>
  <c r="A16" i="4"/>
  <c r="B16" i="4"/>
  <c r="C16" i="4"/>
  <c r="D16" i="4"/>
  <c r="A17" i="4"/>
  <c r="B17" i="4"/>
  <c r="C17" i="4"/>
  <c r="D17" i="4"/>
  <c r="A12" i="4"/>
  <c r="B12" i="4"/>
  <c r="C12" i="4"/>
  <c r="D12" i="4"/>
  <c r="A13" i="4"/>
  <c r="B13" i="4"/>
  <c r="C13" i="4"/>
  <c r="D13" i="4"/>
  <c r="A14" i="4"/>
  <c r="B14" i="4"/>
  <c r="C14" i="4"/>
  <c r="D14" i="4"/>
  <c r="B11" i="4"/>
  <c r="C11" i="4"/>
  <c r="D11" i="4"/>
  <c r="A11" i="4"/>
  <c r="C10" i="4"/>
  <c r="D10" i="4"/>
  <c r="B10" i="4"/>
  <c r="A10" i="4"/>
  <c r="B9" i="4"/>
  <c r="A9" i="4"/>
  <c r="B8" i="4"/>
  <c r="A8" i="4"/>
  <c r="B7" i="4"/>
  <c r="A7" i="4"/>
  <c r="B35" i="12"/>
  <c r="B38" i="12"/>
  <c r="F34" i="6"/>
  <c r="F33" i="6"/>
  <c r="F22" i="6"/>
  <c r="I24" i="6"/>
  <c r="J24" i="6"/>
  <c r="K24" i="6"/>
  <c r="L24" i="6"/>
  <c r="M24" i="6"/>
  <c r="N24" i="6"/>
  <c r="O24" i="6"/>
  <c r="P24" i="6"/>
  <c r="P8" i="6" s="1"/>
  <c r="Q24" i="6"/>
  <c r="H24" i="6"/>
  <c r="I9" i="6"/>
  <c r="J9" i="6"/>
  <c r="M9" i="6"/>
  <c r="N9" i="6"/>
  <c r="O9" i="6"/>
  <c r="P9" i="6"/>
  <c r="Q9" i="6"/>
  <c r="I24" i="5"/>
  <c r="J24" i="5"/>
  <c r="K24" i="5"/>
  <c r="L24" i="5"/>
  <c r="M24" i="5"/>
  <c r="N24" i="5"/>
  <c r="O24" i="5"/>
  <c r="P24" i="5"/>
  <c r="Q24" i="5"/>
  <c r="R24" i="5"/>
  <c r="H24" i="5"/>
  <c r="I9" i="5"/>
  <c r="J9" i="5"/>
  <c r="M9" i="5"/>
  <c r="N9" i="5"/>
  <c r="O9" i="5"/>
  <c r="P9" i="5"/>
  <c r="Q9" i="5"/>
  <c r="H104" i="6"/>
  <c r="F104" i="6" s="1"/>
  <c r="L18" i="6"/>
  <c r="L9" i="6" s="1"/>
  <c r="H107" i="6"/>
  <c r="F107" i="6" s="1"/>
  <c r="H13" i="6"/>
  <c r="H9" i="6" s="1"/>
  <c r="F128" i="6"/>
  <c r="L128" i="12" s="1"/>
  <c r="H108" i="5"/>
  <c r="F108" i="5" s="1"/>
  <c r="H38" i="5"/>
  <c r="H36" i="5" s="1"/>
  <c r="H13" i="5"/>
  <c r="H9" i="5" s="1"/>
  <c r="L18" i="5"/>
  <c r="L9" i="5" s="1"/>
  <c r="A128" i="12"/>
  <c r="B128" i="12"/>
  <c r="C128" i="12"/>
  <c r="D128" i="12"/>
  <c r="E128" i="12"/>
  <c r="G128" i="12"/>
  <c r="I128" i="12"/>
  <c r="K128" i="12"/>
  <c r="E93" i="12"/>
  <c r="G93" i="12"/>
  <c r="I93" i="12"/>
  <c r="K93" i="12"/>
  <c r="C93" i="12"/>
  <c r="B93" i="12"/>
  <c r="A93" i="12"/>
  <c r="C35" i="12"/>
  <c r="D35" i="12"/>
  <c r="E35" i="12"/>
  <c r="G35" i="12"/>
  <c r="I35" i="12"/>
  <c r="K35" i="12"/>
  <c r="A35" i="12"/>
  <c r="C23" i="12"/>
  <c r="D23" i="12"/>
  <c r="E23" i="12"/>
  <c r="G23" i="12"/>
  <c r="I23" i="12"/>
  <c r="K23" i="12"/>
  <c r="B23" i="12"/>
  <c r="A23" i="12"/>
  <c r="E22" i="12"/>
  <c r="E15" i="12"/>
  <c r="E101" i="12"/>
  <c r="I128" i="4"/>
  <c r="I36" i="4"/>
  <c r="J36" i="4"/>
  <c r="K36" i="4"/>
  <c r="L36" i="4"/>
  <c r="M36" i="4"/>
  <c r="N36" i="4"/>
  <c r="O36" i="4"/>
  <c r="P36" i="4"/>
  <c r="Q36" i="4"/>
  <c r="I24" i="4"/>
  <c r="J24" i="4"/>
  <c r="K24" i="4"/>
  <c r="L24" i="4"/>
  <c r="M24" i="4"/>
  <c r="N24" i="4"/>
  <c r="O24" i="4"/>
  <c r="P24" i="4"/>
  <c r="Q24" i="4"/>
  <c r="Q8" i="4" s="1"/>
  <c r="H24" i="4"/>
  <c r="I9" i="4"/>
  <c r="J9" i="4"/>
  <c r="M9" i="4"/>
  <c r="N9" i="4"/>
  <c r="O9" i="4"/>
  <c r="P9" i="4"/>
  <c r="Q9" i="4"/>
  <c r="H9" i="4"/>
  <c r="I9" i="3"/>
  <c r="J9" i="3"/>
  <c r="K9" i="3"/>
  <c r="L9" i="3"/>
  <c r="M9" i="3"/>
  <c r="P9" i="3"/>
  <c r="Q9" i="3"/>
  <c r="R9" i="3"/>
  <c r="S9" i="3"/>
  <c r="T9" i="3"/>
  <c r="U9" i="3"/>
  <c r="V9" i="3"/>
  <c r="W9" i="3"/>
  <c r="X9" i="3"/>
  <c r="Y9" i="3"/>
  <c r="AA9" i="3"/>
  <c r="AB9" i="3"/>
  <c r="AC9" i="3"/>
  <c r="AD9" i="3"/>
  <c r="AE9" i="3"/>
  <c r="AF9" i="3"/>
  <c r="AG9" i="3"/>
  <c r="AH9" i="3"/>
  <c r="AH8" i="3" s="1"/>
  <c r="AI9" i="3"/>
  <c r="AJ9" i="3"/>
  <c r="AJ8" i="3" s="1"/>
  <c r="AK9" i="3"/>
  <c r="AL9" i="3"/>
  <c r="AM9" i="3"/>
  <c r="AN9" i="3"/>
  <c r="AO9" i="3"/>
  <c r="AQ9" i="3"/>
  <c r="AT9" i="3"/>
  <c r="AU9" i="3"/>
  <c r="AV9" i="3"/>
  <c r="AW9" i="3"/>
  <c r="AX9" i="3"/>
  <c r="AY9" i="3"/>
  <c r="AZ9" i="3"/>
  <c r="BA9" i="3"/>
  <c r="BB9" i="3"/>
  <c r="I24" i="3"/>
  <c r="J24" i="3"/>
  <c r="J8" i="3" s="1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K8" i="3" s="1"/>
  <c r="AL24" i="3"/>
  <c r="AM24" i="3"/>
  <c r="AN24" i="3"/>
  <c r="AP24" i="3"/>
  <c r="AQ24" i="3"/>
  <c r="AR24" i="3"/>
  <c r="AS24" i="3"/>
  <c r="AT24" i="3"/>
  <c r="AU24" i="3"/>
  <c r="AV24" i="3"/>
  <c r="AW24" i="3"/>
  <c r="AW8" i="3" s="1"/>
  <c r="AX24" i="3"/>
  <c r="AY24" i="3"/>
  <c r="AZ24" i="3"/>
  <c r="BA24" i="3"/>
  <c r="BB24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F93" i="3"/>
  <c r="I115" i="3"/>
  <c r="J115" i="3"/>
  <c r="K115" i="3"/>
  <c r="L115" i="3"/>
  <c r="M115" i="3"/>
  <c r="N115" i="3"/>
  <c r="O115" i="3"/>
  <c r="P115" i="3"/>
  <c r="Q115" i="3"/>
  <c r="R115" i="3"/>
  <c r="T115" i="3"/>
  <c r="U115" i="3"/>
  <c r="V115" i="3"/>
  <c r="W115" i="3"/>
  <c r="X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AO111" i="3"/>
  <c r="F128" i="4"/>
  <c r="F23" i="3"/>
  <c r="AT89" i="3"/>
  <c r="AT84" i="3" s="1"/>
  <c r="F128" i="5"/>
  <c r="J128" i="12" s="1"/>
  <c r="F127" i="5"/>
  <c r="K11" i="5"/>
  <c r="K9" i="5" s="1"/>
  <c r="F129" i="6"/>
  <c r="F128" i="3"/>
  <c r="F129" i="5"/>
  <c r="J129" i="12" s="1"/>
  <c r="H115" i="4"/>
  <c r="F35" i="6"/>
  <c r="F35" i="5"/>
  <c r="F35" i="4"/>
  <c r="F23" i="6"/>
  <c r="F23" i="5"/>
  <c r="F23" i="4"/>
  <c r="H23" i="12" s="1"/>
  <c r="F35" i="3"/>
  <c r="F35" i="12" s="1"/>
  <c r="Y91" i="3"/>
  <c r="AD137" i="3"/>
  <c r="F137" i="3" s="1"/>
  <c r="Z69" i="3"/>
  <c r="Z67" i="3" s="1"/>
  <c r="I94" i="3"/>
  <c r="I91" i="3" s="1"/>
  <c r="K67" i="3"/>
  <c r="K66" i="3" s="1"/>
  <c r="J74" i="3"/>
  <c r="F74" i="3" s="1"/>
  <c r="N9" i="3"/>
  <c r="AP9" i="3"/>
  <c r="F43" i="3"/>
  <c r="F109" i="6"/>
  <c r="F110" i="6"/>
  <c r="F109" i="5"/>
  <c r="J109" i="12" s="1"/>
  <c r="F110" i="5"/>
  <c r="J110" i="12" s="1"/>
  <c r="F109" i="4"/>
  <c r="F110" i="4"/>
  <c r="S115" i="3"/>
  <c r="O18" i="3"/>
  <c r="O9" i="3" s="1"/>
  <c r="H110" i="3"/>
  <c r="Y107" i="3"/>
  <c r="Y98" i="3" s="1"/>
  <c r="H13" i="3"/>
  <c r="H105" i="3"/>
  <c r="AL109" i="3"/>
  <c r="F109" i="3" s="1"/>
  <c r="F109" i="12" s="1"/>
  <c r="H38" i="3"/>
  <c r="Z38" i="3"/>
  <c r="Z36" i="3" s="1"/>
  <c r="H30" i="3"/>
  <c r="H24" i="3" s="1"/>
  <c r="K11" i="12"/>
  <c r="K12" i="12"/>
  <c r="K13" i="12"/>
  <c r="K14" i="12"/>
  <c r="K15" i="12"/>
  <c r="K16" i="12"/>
  <c r="K17" i="12"/>
  <c r="K18" i="12"/>
  <c r="K19" i="12"/>
  <c r="K20" i="12"/>
  <c r="K21" i="12"/>
  <c r="K22" i="12"/>
  <c r="K25" i="12"/>
  <c r="L25" i="12"/>
  <c r="K26" i="12"/>
  <c r="K27" i="12"/>
  <c r="K28" i="12"/>
  <c r="K29" i="12"/>
  <c r="K30" i="12"/>
  <c r="K31" i="12"/>
  <c r="K32" i="12"/>
  <c r="K33" i="12"/>
  <c r="K34" i="12"/>
  <c r="K37" i="12"/>
  <c r="L37" i="12"/>
  <c r="K38" i="12"/>
  <c r="K39" i="12"/>
  <c r="K40" i="12"/>
  <c r="K41" i="12"/>
  <c r="K42" i="12"/>
  <c r="K43" i="12"/>
  <c r="K44" i="12"/>
  <c r="K46" i="12"/>
  <c r="K47" i="12"/>
  <c r="L47" i="12"/>
  <c r="K48" i="12"/>
  <c r="K49" i="12"/>
  <c r="K50" i="12"/>
  <c r="K51" i="12"/>
  <c r="K52" i="12"/>
  <c r="K53" i="12"/>
  <c r="K54" i="12"/>
  <c r="K55" i="12"/>
  <c r="K57" i="12"/>
  <c r="L57" i="12"/>
  <c r="K58" i="12"/>
  <c r="K59" i="12"/>
  <c r="K60" i="12"/>
  <c r="K61" i="12"/>
  <c r="K62" i="12"/>
  <c r="K63" i="12"/>
  <c r="K64" i="12"/>
  <c r="K68" i="12"/>
  <c r="L68" i="12"/>
  <c r="K69" i="12"/>
  <c r="K70" i="12"/>
  <c r="K71" i="12"/>
  <c r="K72" i="12"/>
  <c r="K73" i="12"/>
  <c r="K74" i="12"/>
  <c r="K75" i="12"/>
  <c r="K77" i="12"/>
  <c r="L77" i="12"/>
  <c r="K78" i="12"/>
  <c r="K79" i="12"/>
  <c r="K80" i="12"/>
  <c r="K81" i="12"/>
  <c r="K82" i="12"/>
  <c r="K85" i="12"/>
  <c r="L85" i="12"/>
  <c r="K86" i="12"/>
  <c r="K87" i="12"/>
  <c r="K88" i="12"/>
  <c r="K89" i="12"/>
  <c r="K91" i="12"/>
  <c r="K92" i="12"/>
  <c r="L92" i="12"/>
  <c r="K94" i="12"/>
  <c r="K95" i="12"/>
  <c r="K99" i="12"/>
  <c r="L99" i="12"/>
  <c r="K100" i="12"/>
  <c r="K101" i="12"/>
  <c r="K103" i="12"/>
  <c r="K104" i="12"/>
  <c r="K105" i="12"/>
  <c r="K106" i="12"/>
  <c r="K107" i="12"/>
  <c r="K108" i="12"/>
  <c r="K109" i="12"/>
  <c r="L109" i="12"/>
  <c r="K110" i="12"/>
  <c r="L110" i="12"/>
  <c r="K112" i="12"/>
  <c r="L112" i="12"/>
  <c r="K114" i="12"/>
  <c r="K116" i="12"/>
  <c r="L116" i="12"/>
  <c r="K117" i="12"/>
  <c r="K118" i="12"/>
  <c r="K119" i="12"/>
  <c r="K120" i="12"/>
  <c r="K121" i="12"/>
  <c r="K124" i="12"/>
  <c r="L124" i="12"/>
  <c r="K125" i="12"/>
  <c r="K126" i="12"/>
  <c r="K127" i="12"/>
  <c r="K129" i="12"/>
  <c r="L129" i="12"/>
  <c r="K131" i="12"/>
  <c r="L131" i="12"/>
  <c r="K132" i="12"/>
  <c r="K133" i="12"/>
  <c r="K134" i="12"/>
  <c r="K136" i="12"/>
  <c r="L136" i="12"/>
  <c r="K137" i="12"/>
  <c r="K138" i="12"/>
  <c r="K139" i="12"/>
  <c r="L10" i="12"/>
  <c r="J25" i="12"/>
  <c r="J37" i="12"/>
  <c r="J47" i="12"/>
  <c r="J57" i="12"/>
  <c r="J68" i="12"/>
  <c r="J77" i="12"/>
  <c r="J85" i="12"/>
  <c r="J92" i="12"/>
  <c r="J99" i="12"/>
  <c r="J112" i="12"/>
  <c r="J116" i="12"/>
  <c r="J124" i="12"/>
  <c r="J131" i="12"/>
  <c r="J136" i="12"/>
  <c r="J10" i="12"/>
  <c r="H25" i="12"/>
  <c r="H37" i="12"/>
  <c r="H47" i="12"/>
  <c r="H57" i="12"/>
  <c r="H68" i="12"/>
  <c r="H77" i="12"/>
  <c r="H85" i="12"/>
  <c r="H92" i="12"/>
  <c r="H99" i="12"/>
  <c r="H109" i="12"/>
  <c r="H110" i="12"/>
  <c r="H112" i="12"/>
  <c r="H124" i="12"/>
  <c r="H131" i="12"/>
  <c r="H136" i="12"/>
  <c r="H10" i="12"/>
  <c r="F25" i="12"/>
  <c r="F37" i="12"/>
  <c r="F47" i="12"/>
  <c r="F57" i="12"/>
  <c r="F68" i="12"/>
  <c r="F77" i="12"/>
  <c r="F85" i="12"/>
  <c r="F92" i="12"/>
  <c r="F99" i="12"/>
  <c r="F112" i="12"/>
  <c r="F116" i="12"/>
  <c r="F124" i="12"/>
  <c r="F131" i="12"/>
  <c r="F136" i="12"/>
  <c r="K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5" i="12"/>
  <c r="I26" i="12"/>
  <c r="I27" i="12"/>
  <c r="I28" i="12"/>
  <c r="I29" i="12"/>
  <c r="I30" i="12"/>
  <c r="I31" i="12"/>
  <c r="I32" i="12"/>
  <c r="I33" i="12"/>
  <c r="I34" i="12"/>
  <c r="I37" i="12"/>
  <c r="I38" i="12"/>
  <c r="I39" i="12"/>
  <c r="I40" i="12"/>
  <c r="I41" i="12"/>
  <c r="I42" i="12"/>
  <c r="I43" i="12"/>
  <c r="I44" i="12"/>
  <c r="I46" i="12"/>
  <c r="I47" i="12"/>
  <c r="I48" i="12"/>
  <c r="I49" i="12"/>
  <c r="I50" i="12"/>
  <c r="I51" i="12"/>
  <c r="I52" i="12"/>
  <c r="I53" i="12"/>
  <c r="I54" i="12"/>
  <c r="I55" i="12"/>
  <c r="I57" i="12"/>
  <c r="I58" i="12"/>
  <c r="I59" i="12"/>
  <c r="I60" i="12"/>
  <c r="I61" i="12"/>
  <c r="I62" i="12"/>
  <c r="I63" i="12"/>
  <c r="I64" i="12"/>
  <c r="I68" i="12"/>
  <c r="I69" i="12"/>
  <c r="I70" i="12"/>
  <c r="I71" i="12"/>
  <c r="I72" i="12"/>
  <c r="I73" i="12"/>
  <c r="I74" i="12"/>
  <c r="I75" i="12"/>
  <c r="I77" i="12"/>
  <c r="I78" i="12"/>
  <c r="I79" i="12"/>
  <c r="I80" i="12"/>
  <c r="I81" i="12"/>
  <c r="I82" i="12"/>
  <c r="I85" i="12"/>
  <c r="I86" i="12"/>
  <c r="I87" i="12"/>
  <c r="I88" i="12"/>
  <c r="I89" i="12"/>
  <c r="I92" i="12"/>
  <c r="I94" i="12"/>
  <c r="I95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2" i="12"/>
  <c r="I113" i="12"/>
  <c r="I114" i="12"/>
  <c r="I116" i="12"/>
  <c r="I117" i="12"/>
  <c r="I118" i="12"/>
  <c r="I119" i="12"/>
  <c r="I120" i="12"/>
  <c r="I121" i="12"/>
  <c r="I124" i="12"/>
  <c r="I125" i="12"/>
  <c r="I126" i="12"/>
  <c r="I127" i="12"/>
  <c r="I129" i="12"/>
  <c r="I131" i="12"/>
  <c r="I132" i="12"/>
  <c r="I133" i="12"/>
  <c r="I134" i="12"/>
  <c r="I136" i="12"/>
  <c r="I137" i="12"/>
  <c r="I138" i="12"/>
  <c r="I139" i="12"/>
  <c r="I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5" i="12"/>
  <c r="G26" i="12"/>
  <c r="G27" i="12"/>
  <c r="G28" i="12"/>
  <c r="G29" i="12"/>
  <c r="G30" i="12"/>
  <c r="G31" i="12"/>
  <c r="G32" i="12"/>
  <c r="G33" i="12"/>
  <c r="G34" i="12"/>
  <c r="G37" i="12"/>
  <c r="G38" i="12"/>
  <c r="G39" i="12"/>
  <c r="G40" i="12"/>
  <c r="G41" i="12"/>
  <c r="G42" i="12"/>
  <c r="G43" i="12"/>
  <c r="G44" i="12"/>
  <c r="G46" i="12"/>
  <c r="G47" i="12"/>
  <c r="G48" i="12"/>
  <c r="G49" i="12"/>
  <c r="G50" i="12"/>
  <c r="G51" i="12"/>
  <c r="G52" i="12"/>
  <c r="G53" i="12"/>
  <c r="G54" i="12"/>
  <c r="G55" i="12"/>
  <c r="G57" i="12"/>
  <c r="G58" i="12"/>
  <c r="G59" i="12"/>
  <c r="G60" i="12"/>
  <c r="G61" i="12"/>
  <c r="G62" i="12"/>
  <c r="G63" i="12"/>
  <c r="G64" i="12"/>
  <c r="G68" i="12"/>
  <c r="G69" i="12"/>
  <c r="G70" i="12"/>
  <c r="G71" i="12"/>
  <c r="G72" i="12"/>
  <c r="G73" i="12"/>
  <c r="G74" i="12"/>
  <c r="G75" i="12"/>
  <c r="G77" i="12"/>
  <c r="G78" i="12"/>
  <c r="G79" i="12"/>
  <c r="G80" i="12"/>
  <c r="G81" i="12"/>
  <c r="G82" i="12"/>
  <c r="G85" i="12"/>
  <c r="G86" i="12"/>
  <c r="G87" i="12"/>
  <c r="G88" i="12"/>
  <c r="G89" i="12"/>
  <c r="G92" i="12"/>
  <c r="G94" i="12"/>
  <c r="G95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2" i="12"/>
  <c r="G113" i="12"/>
  <c r="G114" i="12"/>
  <c r="G116" i="12"/>
  <c r="G117" i="12"/>
  <c r="G118" i="12"/>
  <c r="G119" i="12"/>
  <c r="G120" i="12"/>
  <c r="G121" i="12"/>
  <c r="G124" i="12"/>
  <c r="G125" i="12"/>
  <c r="G126" i="12"/>
  <c r="G127" i="12"/>
  <c r="G129" i="12"/>
  <c r="G131" i="12"/>
  <c r="G132" i="12"/>
  <c r="G133" i="12"/>
  <c r="G134" i="12"/>
  <c r="G136" i="12"/>
  <c r="G137" i="12"/>
  <c r="G138" i="12"/>
  <c r="G139" i="12"/>
  <c r="G10" i="12"/>
  <c r="E11" i="12"/>
  <c r="E12" i="12"/>
  <c r="E13" i="12"/>
  <c r="E14" i="12"/>
  <c r="E16" i="12"/>
  <c r="E17" i="12"/>
  <c r="E18" i="12"/>
  <c r="E19" i="12"/>
  <c r="E20" i="12"/>
  <c r="E21" i="12"/>
  <c r="E25" i="12"/>
  <c r="E26" i="12"/>
  <c r="E27" i="12"/>
  <c r="E28" i="12"/>
  <c r="E29" i="12"/>
  <c r="E30" i="12"/>
  <c r="E31" i="12"/>
  <c r="E32" i="12"/>
  <c r="E33" i="12"/>
  <c r="E34" i="12"/>
  <c r="E37" i="12"/>
  <c r="E38" i="12"/>
  <c r="E39" i="12"/>
  <c r="E40" i="12"/>
  <c r="E41" i="12"/>
  <c r="E42" i="12"/>
  <c r="E43" i="12"/>
  <c r="E44" i="12"/>
  <c r="E47" i="12"/>
  <c r="E48" i="12"/>
  <c r="E49" i="12"/>
  <c r="E50" i="12"/>
  <c r="E51" i="12"/>
  <c r="E52" i="12"/>
  <c r="E53" i="12"/>
  <c r="E54" i="12"/>
  <c r="E55" i="12"/>
  <c r="E57" i="12"/>
  <c r="E58" i="12"/>
  <c r="E59" i="12"/>
  <c r="E60" i="12"/>
  <c r="E61" i="12"/>
  <c r="E62" i="12"/>
  <c r="E63" i="12"/>
  <c r="E64" i="12"/>
  <c r="E68" i="12"/>
  <c r="E69" i="12"/>
  <c r="E70" i="12"/>
  <c r="E71" i="12"/>
  <c r="E72" i="12"/>
  <c r="E73" i="12"/>
  <c r="E74" i="12"/>
  <c r="E75" i="12"/>
  <c r="E77" i="12"/>
  <c r="E78" i="12"/>
  <c r="E79" i="12"/>
  <c r="E80" i="12"/>
  <c r="E81" i="12"/>
  <c r="E82" i="12"/>
  <c r="E85" i="12"/>
  <c r="E86" i="12"/>
  <c r="E87" i="12"/>
  <c r="E88" i="12"/>
  <c r="E89" i="12"/>
  <c r="E92" i="12"/>
  <c r="E94" i="12"/>
  <c r="E95" i="12"/>
  <c r="E99" i="12"/>
  <c r="E100" i="12"/>
  <c r="E102" i="12"/>
  <c r="E103" i="12"/>
  <c r="E104" i="12"/>
  <c r="E105" i="12"/>
  <c r="E106" i="12"/>
  <c r="E107" i="12"/>
  <c r="E108" i="12"/>
  <c r="E109" i="12"/>
  <c r="E110" i="12"/>
  <c r="E112" i="12"/>
  <c r="E114" i="12"/>
  <c r="E116" i="12"/>
  <c r="E117" i="12"/>
  <c r="E118" i="12"/>
  <c r="E119" i="12"/>
  <c r="E120" i="12"/>
  <c r="E121" i="12"/>
  <c r="E124" i="12"/>
  <c r="E125" i="12"/>
  <c r="E126" i="12"/>
  <c r="E127" i="12"/>
  <c r="E129" i="12"/>
  <c r="E131" i="12"/>
  <c r="E132" i="12"/>
  <c r="E133" i="12"/>
  <c r="E134" i="12"/>
  <c r="E136" i="12"/>
  <c r="E137" i="12"/>
  <c r="E138" i="12"/>
  <c r="E139" i="12"/>
  <c r="E10" i="12"/>
  <c r="C11" i="12"/>
  <c r="D11" i="12"/>
  <c r="C12" i="12"/>
  <c r="D12" i="12"/>
  <c r="C13" i="12"/>
  <c r="D13" i="12"/>
  <c r="C14" i="12"/>
  <c r="D14" i="12"/>
  <c r="C15" i="12"/>
  <c r="D15" i="12"/>
  <c r="C16" i="12"/>
  <c r="D16" i="12"/>
  <c r="C17" i="12"/>
  <c r="D17" i="12"/>
  <c r="C18" i="12"/>
  <c r="D18" i="12"/>
  <c r="C19" i="12"/>
  <c r="D19" i="12"/>
  <c r="C20" i="12"/>
  <c r="D20" i="12"/>
  <c r="C21" i="12"/>
  <c r="D21" i="12"/>
  <c r="C22" i="12"/>
  <c r="D22" i="12"/>
  <c r="C24" i="12"/>
  <c r="D24" i="12"/>
  <c r="C25" i="12"/>
  <c r="D25" i="12"/>
  <c r="C26" i="12"/>
  <c r="D26" i="12"/>
  <c r="C27" i="12"/>
  <c r="D27" i="12"/>
  <c r="C28" i="12"/>
  <c r="D28" i="12"/>
  <c r="C29" i="12"/>
  <c r="D29" i="12"/>
  <c r="C30" i="12"/>
  <c r="D30" i="12"/>
  <c r="C31" i="12"/>
  <c r="D31" i="12"/>
  <c r="C32" i="12"/>
  <c r="D32" i="12"/>
  <c r="C33" i="12"/>
  <c r="D33" i="12"/>
  <c r="C34" i="12"/>
  <c r="D34" i="12"/>
  <c r="C36" i="12"/>
  <c r="D36" i="12"/>
  <c r="C37" i="12"/>
  <c r="D37" i="12"/>
  <c r="C38" i="12"/>
  <c r="D38" i="12"/>
  <c r="C39" i="12"/>
  <c r="D39" i="12"/>
  <c r="C40" i="12"/>
  <c r="D40" i="12"/>
  <c r="C41" i="12"/>
  <c r="D41" i="12"/>
  <c r="C42" i="12"/>
  <c r="C43" i="12"/>
  <c r="D43" i="12"/>
  <c r="C44" i="12"/>
  <c r="D44" i="12"/>
  <c r="C46" i="12"/>
  <c r="D46" i="12"/>
  <c r="C47" i="12"/>
  <c r="D47" i="12"/>
  <c r="C48" i="12"/>
  <c r="D48" i="12"/>
  <c r="C49" i="12"/>
  <c r="D49" i="12"/>
  <c r="C50" i="12"/>
  <c r="D50" i="12"/>
  <c r="C51" i="12"/>
  <c r="D51" i="12"/>
  <c r="C52" i="12"/>
  <c r="D52" i="12"/>
  <c r="C53" i="12"/>
  <c r="D53" i="12"/>
  <c r="C54" i="12"/>
  <c r="D54" i="12"/>
  <c r="C55" i="12"/>
  <c r="D55" i="12"/>
  <c r="C56" i="12"/>
  <c r="D56" i="12"/>
  <c r="C57" i="12"/>
  <c r="D57" i="12"/>
  <c r="C58" i="12"/>
  <c r="D58" i="12"/>
  <c r="C59" i="12"/>
  <c r="D59" i="12"/>
  <c r="C60" i="12"/>
  <c r="D60" i="12"/>
  <c r="C61" i="12"/>
  <c r="D61" i="12"/>
  <c r="C62" i="12"/>
  <c r="D62" i="12"/>
  <c r="C63" i="12"/>
  <c r="D63" i="12"/>
  <c r="C64" i="12"/>
  <c r="D64" i="12"/>
  <c r="C67" i="12"/>
  <c r="D67" i="12"/>
  <c r="C68" i="12"/>
  <c r="D68" i="12"/>
  <c r="C69" i="12"/>
  <c r="D69" i="12"/>
  <c r="C70" i="12"/>
  <c r="D70" i="12"/>
  <c r="C71" i="12"/>
  <c r="D71" i="12"/>
  <c r="C72" i="12"/>
  <c r="D72" i="12"/>
  <c r="C73" i="12"/>
  <c r="D73" i="12"/>
  <c r="C74" i="12"/>
  <c r="D74" i="12"/>
  <c r="C75" i="12"/>
  <c r="D75" i="12"/>
  <c r="C76" i="12"/>
  <c r="C77" i="12"/>
  <c r="D77" i="12"/>
  <c r="C78" i="12"/>
  <c r="D78" i="12"/>
  <c r="C79" i="12"/>
  <c r="D79" i="12"/>
  <c r="C80" i="12"/>
  <c r="D80" i="12"/>
  <c r="C81" i="12"/>
  <c r="D81" i="12"/>
  <c r="C82" i="12"/>
  <c r="D82" i="12"/>
  <c r="C84" i="12"/>
  <c r="D84" i="12"/>
  <c r="C85" i="12"/>
  <c r="D85" i="12"/>
  <c r="C86" i="12"/>
  <c r="D86" i="12"/>
  <c r="C87" i="12"/>
  <c r="D87" i="12"/>
  <c r="C88" i="12"/>
  <c r="D88" i="12"/>
  <c r="C89" i="12"/>
  <c r="D89" i="12"/>
  <c r="C91" i="12"/>
  <c r="D91" i="12"/>
  <c r="C92" i="12"/>
  <c r="D92" i="12"/>
  <c r="C94" i="12"/>
  <c r="D94" i="12"/>
  <c r="C95" i="12"/>
  <c r="D95" i="12"/>
  <c r="C98" i="12"/>
  <c r="D98" i="12"/>
  <c r="C99" i="12"/>
  <c r="D99" i="12"/>
  <c r="C100" i="12"/>
  <c r="D100" i="12"/>
  <c r="C101" i="12"/>
  <c r="D101" i="12"/>
  <c r="C102" i="12"/>
  <c r="D102" i="12"/>
  <c r="C103" i="12"/>
  <c r="D103" i="12"/>
  <c r="C104" i="12"/>
  <c r="D104" i="12"/>
  <c r="C105" i="12"/>
  <c r="D105" i="12"/>
  <c r="C106" i="12"/>
  <c r="D106" i="12"/>
  <c r="C107" i="12"/>
  <c r="D107" i="12"/>
  <c r="C108" i="12"/>
  <c r="D108" i="12"/>
  <c r="C109" i="12"/>
  <c r="D109" i="12"/>
  <c r="C110" i="12"/>
  <c r="D110" i="12"/>
  <c r="C111" i="12"/>
  <c r="D111" i="12"/>
  <c r="C112" i="12"/>
  <c r="D112" i="12"/>
  <c r="C113" i="12"/>
  <c r="D113" i="12"/>
  <c r="C114" i="12"/>
  <c r="D114" i="12"/>
  <c r="C115" i="12"/>
  <c r="D115" i="12"/>
  <c r="C116" i="12"/>
  <c r="D116" i="12"/>
  <c r="C117" i="12"/>
  <c r="D117" i="12"/>
  <c r="C118" i="12"/>
  <c r="D118" i="12"/>
  <c r="C119" i="12"/>
  <c r="D119" i="12"/>
  <c r="C120" i="12"/>
  <c r="D120" i="12"/>
  <c r="C121" i="12"/>
  <c r="D121" i="12"/>
  <c r="C123" i="12"/>
  <c r="D123" i="12"/>
  <c r="C124" i="12"/>
  <c r="D124" i="12"/>
  <c r="C125" i="12"/>
  <c r="D125" i="12"/>
  <c r="C126" i="12"/>
  <c r="D126" i="12"/>
  <c r="C127" i="12"/>
  <c r="D127" i="12"/>
  <c r="C129" i="12"/>
  <c r="D129" i="12"/>
  <c r="C130" i="12"/>
  <c r="D130" i="12"/>
  <c r="C131" i="12"/>
  <c r="D131" i="12"/>
  <c r="C132" i="12"/>
  <c r="D132" i="12"/>
  <c r="C133" i="12"/>
  <c r="D133" i="12"/>
  <c r="C134" i="12"/>
  <c r="D134" i="12"/>
  <c r="C135" i="12"/>
  <c r="D135" i="12"/>
  <c r="C136" i="12"/>
  <c r="D136" i="12"/>
  <c r="C137" i="12"/>
  <c r="D137" i="12"/>
  <c r="C138" i="12"/>
  <c r="D138" i="12"/>
  <c r="C139" i="12"/>
  <c r="D139" i="12"/>
  <c r="C9" i="12"/>
  <c r="D9" i="12"/>
  <c r="C10" i="12"/>
  <c r="D10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4" i="12"/>
  <c r="B25" i="12"/>
  <c r="B26" i="12"/>
  <c r="B27" i="12"/>
  <c r="B28" i="12"/>
  <c r="B29" i="12"/>
  <c r="B30" i="12"/>
  <c r="B31" i="12"/>
  <c r="B32" i="12"/>
  <c r="B33" i="12"/>
  <c r="B34" i="12"/>
  <c r="B36" i="12"/>
  <c r="B37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1" i="12"/>
  <c r="B92" i="12"/>
  <c r="B94" i="12"/>
  <c r="B95" i="12"/>
  <c r="B96" i="12"/>
  <c r="B97" i="12"/>
  <c r="B98" i="12"/>
  <c r="B99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9" i="12"/>
  <c r="B130" i="12"/>
  <c r="B131" i="12"/>
  <c r="B132" i="12"/>
  <c r="B133" i="12"/>
  <c r="B134" i="12"/>
  <c r="B135" i="12"/>
  <c r="B136" i="12"/>
  <c r="B137" i="12"/>
  <c r="B138" i="12"/>
  <c r="B139" i="12"/>
  <c r="B7" i="12"/>
  <c r="A135" i="12"/>
  <c r="A136" i="12"/>
  <c r="A137" i="12"/>
  <c r="A138" i="12"/>
  <c r="A139" i="12"/>
  <c r="A129" i="12"/>
  <c r="A130" i="12"/>
  <c r="A131" i="12"/>
  <c r="A132" i="12"/>
  <c r="A133" i="12"/>
  <c r="A134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4" i="12"/>
  <c r="A25" i="12"/>
  <c r="A26" i="12"/>
  <c r="A27" i="12"/>
  <c r="A28" i="12"/>
  <c r="A29" i="12"/>
  <c r="A30" i="12"/>
  <c r="A31" i="12"/>
  <c r="A32" i="12"/>
  <c r="A33" i="12"/>
  <c r="A34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1" i="12"/>
  <c r="A92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7" i="12"/>
  <c r="F95" i="5"/>
  <c r="J95" i="12" s="1"/>
  <c r="F89" i="6"/>
  <c r="L89" i="12" s="1"/>
  <c r="F89" i="5"/>
  <c r="J89" i="12" s="1"/>
  <c r="F95" i="4"/>
  <c r="H95" i="12" s="1"/>
  <c r="H91" i="4"/>
  <c r="H83" i="4" s="1"/>
  <c r="F89" i="4"/>
  <c r="H89" i="12" s="1"/>
  <c r="K11" i="4"/>
  <c r="K9" i="4" s="1"/>
  <c r="F62" i="4"/>
  <c r="H62" i="12" s="1"/>
  <c r="F62" i="6"/>
  <c r="L62" i="12" s="1"/>
  <c r="F126" i="4"/>
  <c r="H126" i="12" s="1"/>
  <c r="F129" i="4"/>
  <c r="F59" i="6"/>
  <c r="L59" i="12" s="1"/>
  <c r="F60" i="5"/>
  <c r="J60" i="12" s="1"/>
  <c r="F61" i="5"/>
  <c r="J61" i="12" s="1"/>
  <c r="F62" i="5"/>
  <c r="J62" i="12" s="1"/>
  <c r="F63" i="5"/>
  <c r="J63" i="12" s="1"/>
  <c r="F64" i="5"/>
  <c r="J64" i="12" s="1"/>
  <c r="F59" i="5"/>
  <c r="J59" i="12" s="1"/>
  <c r="F59" i="4"/>
  <c r="H59" i="12" s="1"/>
  <c r="F58" i="3"/>
  <c r="F59" i="3"/>
  <c r="F49" i="4"/>
  <c r="H49" i="12" s="1"/>
  <c r="AO27" i="3"/>
  <c r="AO24" i="3" s="1"/>
  <c r="F22" i="5"/>
  <c r="J22" i="12" s="1"/>
  <c r="L22" i="12"/>
  <c r="F22" i="4"/>
  <c r="H22" i="12" s="1"/>
  <c r="Z21" i="3"/>
  <c r="Z9" i="3" s="1"/>
  <c r="L18" i="4"/>
  <c r="L9" i="4" s="1"/>
  <c r="K11" i="6"/>
  <c r="K9" i="6" s="1"/>
  <c r="BF102" i="3"/>
  <c r="AM110" i="3"/>
  <c r="AM98" i="3" s="1"/>
  <c r="F62" i="3"/>
  <c r="F62" i="12" s="1"/>
  <c r="H19" i="3"/>
  <c r="F19" i="3" s="1"/>
  <c r="L135" i="3"/>
  <c r="K135" i="3"/>
  <c r="J135" i="3"/>
  <c r="I135" i="3"/>
  <c r="L130" i="3"/>
  <c r="K130" i="3"/>
  <c r="J130" i="3"/>
  <c r="L123" i="3"/>
  <c r="K123" i="3"/>
  <c r="J123" i="3"/>
  <c r="J122" i="3" s="1"/>
  <c r="I123" i="3"/>
  <c r="L111" i="3"/>
  <c r="K111" i="3"/>
  <c r="J111" i="3"/>
  <c r="I111" i="3"/>
  <c r="L98" i="3"/>
  <c r="K98" i="3"/>
  <c r="J98" i="3"/>
  <c r="I98" i="3"/>
  <c r="L84" i="3"/>
  <c r="K84" i="3"/>
  <c r="J84" i="3"/>
  <c r="J83" i="3" s="1"/>
  <c r="I84" i="3"/>
  <c r="L67" i="3"/>
  <c r="L66" i="3" s="1"/>
  <c r="I67" i="3"/>
  <c r="I66" i="3" s="1"/>
  <c r="L46" i="3"/>
  <c r="K46" i="3"/>
  <c r="K45" i="3" s="1"/>
  <c r="J46" i="3"/>
  <c r="I46" i="3"/>
  <c r="I45" i="3" s="1"/>
  <c r="L36" i="3"/>
  <c r="K36" i="3"/>
  <c r="J36" i="3"/>
  <c r="I36" i="3"/>
  <c r="Y120" i="3"/>
  <c r="Y115" i="3" s="1"/>
  <c r="AS18" i="3"/>
  <c r="AS9" i="3" s="1"/>
  <c r="AR9" i="3"/>
  <c r="F78" i="3"/>
  <c r="F78" i="12" s="1"/>
  <c r="F58" i="6"/>
  <c r="F60" i="6"/>
  <c r="F61" i="6"/>
  <c r="F58" i="5"/>
  <c r="F58" i="4"/>
  <c r="F60" i="4"/>
  <c r="F61" i="4"/>
  <c r="H56" i="3"/>
  <c r="F60" i="3"/>
  <c r="F60" i="12" s="1"/>
  <c r="S36" i="3"/>
  <c r="T36" i="3"/>
  <c r="U36" i="3"/>
  <c r="V36" i="3"/>
  <c r="W36" i="3"/>
  <c r="S46" i="3"/>
  <c r="T46" i="3"/>
  <c r="U46" i="3"/>
  <c r="V46" i="3"/>
  <c r="W46" i="3"/>
  <c r="S67" i="3"/>
  <c r="T67" i="3"/>
  <c r="U67" i="3"/>
  <c r="V67" i="3"/>
  <c r="W67" i="3"/>
  <c r="S76" i="3"/>
  <c r="T76" i="3"/>
  <c r="U76" i="3"/>
  <c r="V76" i="3"/>
  <c r="W76" i="3"/>
  <c r="S84" i="3"/>
  <c r="T84" i="3"/>
  <c r="U84" i="3"/>
  <c r="V84" i="3"/>
  <c r="W84" i="3"/>
  <c r="S98" i="3"/>
  <c r="T98" i="3"/>
  <c r="U98" i="3"/>
  <c r="V98" i="3"/>
  <c r="W98" i="3"/>
  <c r="S111" i="3"/>
  <c r="T111" i="3"/>
  <c r="U111" i="3"/>
  <c r="V111" i="3"/>
  <c r="W111" i="3"/>
  <c r="S123" i="3"/>
  <c r="T123" i="3"/>
  <c r="U123" i="3"/>
  <c r="V123" i="3"/>
  <c r="W123" i="3"/>
  <c r="S130" i="3"/>
  <c r="T130" i="3"/>
  <c r="U130" i="3"/>
  <c r="V130" i="3"/>
  <c r="W130" i="3"/>
  <c r="S135" i="3"/>
  <c r="T135" i="3"/>
  <c r="U135" i="3"/>
  <c r="V135" i="3"/>
  <c r="W135" i="3"/>
  <c r="AU123" i="3"/>
  <c r="AV123" i="3"/>
  <c r="AW123" i="3"/>
  <c r="AX123" i="3"/>
  <c r="AY123" i="3"/>
  <c r="AU130" i="3"/>
  <c r="AV130" i="3"/>
  <c r="AW130" i="3"/>
  <c r="AX130" i="3"/>
  <c r="AY130" i="3"/>
  <c r="AU135" i="3"/>
  <c r="AV135" i="3"/>
  <c r="AW135" i="3"/>
  <c r="AX135" i="3"/>
  <c r="AY135" i="3"/>
  <c r="AU111" i="3"/>
  <c r="AV111" i="3"/>
  <c r="AW111" i="3"/>
  <c r="AX111" i="3"/>
  <c r="AY111" i="3"/>
  <c r="AU98" i="3"/>
  <c r="AV98" i="3"/>
  <c r="AW98" i="3"/>
  <c r="AX98" i="3"/>
  <c r="AY98" i="3"/>
  <c r="AU84" i="3"/>
  <c r="AV84" i="3"/>
  <c r="AW84" i="3"/>
  <c r="AX84" i="3"/>
  <c r="AY84" i="3"/>
  <c r="AY83" i="3" s="1"/>
  <c r="AU76" i="3"/>
  <c r="AV76" i="3"/>
  <c r="AW76" i="3"/>
  <c r="AX76" i="3"/>
  <c r="AY76" i="3"/>
  <c r="AU67" i="3"/>
  <c r="AU66" i="3" s="1"/>
  <c r="AV67" i="3"/>
  <c r="AV66" i="3" s="1"/>
  <c r="AW67" i="3"/>
  <c r="AW66" i="3" s="1"/>
  <c r="AX67" i="3"/>
  <c r="AY67" i="3"/>
  <c r="AU46" i="3"/>
  <c r="AV46" i="3"/>
  <c r="AW46" i="3"/>
  <c r="AX46" i="3"/>
  <c r="AY46" i="3"/>
  <c r="AU36" i="3"/>
  <c r="AV36" i="3"/>
  <c r="AW36" i="3"/>
  <c r="AX36" i="3"/>
  <c r="AY36" i="3"/>
  <c r="AD123" i="3"/>
  <c r="AD130" i="3"/>
  <c r="AD111" i="3"/>
  <c r="AD98" i="3"/>
  <c r="AD97" i="3" s="1"/>
  <c r="AD84" i="3"/>
  <c r="AD76" i="3"/>
  <c r="AD67" i="3"/>
  <c r="AD46" i="3"/>
  <c r="AD36" i="3"/>
  <c r="F17" i="3"/>
  <c r="F12" i="3"/>
  <c r="F13" i="3"/>
  <c r="F14" i="3"/>
  <c r="F15" i="3"/>
  <c r="F16" i="3"/>
  <c r="F20" i="3"/>
  <c r="F22" i="3"/>
  <c r="F26" i="3"/>
  <c r="F28" i="3"/>
  <c r="F29" i="3"/>
  <c r="F31" i="3"/>
  <c r="F32" i="3"/>
  <c r="F33" i="3"/>
  <c r="F34" i="3"/>
  <c r="F38" i="3"/>
  <c r="F39" i="3"/>
  <c r="F40" i="3"/>
  <c r="F41" i="3"/>
  <c r="F42" i="3"/>
  <c r="F44" i="3"/>
  <c r="F48" i="3"/>
  <c r="F49" i="3"/>
  <c r="F50" i="3"/>
  <c r="F51" i="3"/>
  <c r="F52" i="3"/>
  <c r="F53" i="3"/>
  <c r="F54" i="3"/>
  <c r="F55" i="3"/>
  <c r="F61" i="3"/>
  <c r="F63" i="3"/>
  <c r="F64" i="3"/>
  <c r="F70" i="3"/>
  <c r="F71" i="3"/>
  <c r="F72" i="3"/>
  <c r="F73" i="3"/>
  <c r="F75" i="3"/>
  <c r="F79" i="3"/>
  <c r="F80" i="3"/>
  <c r="F81" i="3"/>
  <c r="F82" i="3"/>
  <c r="F86" i="3"/>
  <c r="F87" i="3"/>
  <c r="F88" i="3"/>
  <c r="F95" i="3"/>
  <c r="F100" i="3"/>
  <c r="F101" i="3"/>
  <c r="F102" i="3"/>
  <c r="F103" i="3"/>
  <c r="F105" i="3"/>
  <c r="F106" i="3"/>
  <c r="F108" i="3"/>
  <c r="F113" i="3"/>
  <c r="F114" i="3"/>
  <c r="F117" i="3"/>
  <c r="F118" i="3"/>
  <c r="F119" i="3"/>
  <c r="F121" i="3"/>
  <c r="F125" i="3"/>
  <c r="F126" i="3"/>
  <c r="F127" i="3"/>
  <c r="F129" i="3"/>
  <c r="F132" i="3"/>
  <c r="F133" i="3"/>
  <c r="F134" i="3"/>
  <c r="F138" i="3"/>
  <c r="F139" i="3"/>
  <c r="Q98" i="4"/>
  <c r="Q98" i="5"/>
  <c r="N98" i="3"/>
  <c r="O98" i="3"/>
  <c r="P98" i="3"/>
  <c r="Q98" i="3"/>
  <c r="R98" i="3"/>
  <c r="X98" i="3"/>
  <c r="Z98" i="3"/>
  <c r="AA98" i="3"/>
  <c r="AB98" i="3"/>
  <c r="AC98" i="3"/>
  <c r="AE98" i="3"/>
  <c r="AF98" i="3"/>
  <c r="AG98" i="3"/>
  <c r="AH98" i="3"/>
  <c r="AI98" i="3"/>
  <c r="AJ98" i="3"/>
  <c r="AK98" i="3"/>
  <c r="AN98" i="3"/>
  <c r="AO98" i="3"/>
  <c r="AP98" i="3"/>
  <c r="AQ98" i="3"/>
  <c r="AR98" i="3"/>
  <c r="AS98" i="3"/>
  <c r="AT98" i="3"/>
  <c r="AZ98" i="3"/>
  <c r="BA98" i="3"/>
  <c r="BB98" i="3"/>
  <c r="G98" i="3"/>
  <c r="H98" i="4"/>
  <c r="I98" i="4"/>
  <c r="J98" i="4"/>
  <c r="K98" i="4"/>
  <c r="L98" i="4"/>
  <c r="M98" i="4"/>
  <c r="N98" i="4"/>
  <c r="O98" i="4"/>
  <c r="P98" i="4"/>
  <c r="G98" i="4"/>
  <c r="I98" i="5"/>
  <c r="J98" i="5"/>
  <c r="K98" i="5"/>
  <c r="L98" i="5"/>
  <c r="M98" i="5"/>
  <c r="N98" i="5"/>
  <c r="O98" i="5"/>
  <c r="P98" i="5"/>
  <c r="G98" i="5"/>
  <c r="Q98" i="6"/>
  <c r="I98" i="6"/>
  <c r="J98" i="6"/>
  <c r="K98" i="6"/>
  <c r="L98" i="6"/>
  <c r="M98" i="6"/>
  <c r="N98" i="6"/>
  <c r="O98" i="6"/>
  <c r="P98" i="6"/>
  <c r="G98" i="6"/>
  <c r="F101" i="6"/>
  <c r="F102" i="6"/>
  <c r="F103" i="6"/>
  <c r="F105" i="6"/>
  <c r="F106" i="6"/>
  <c r="F108" i="6"/>
  <c r="F100" i="6"/>
  <c r="F95" i="6"/>
  <c r="F121" i="6"/>
  <c r="F121" i="5"/>
  <c r="F121" i="4"/>
  <c r="G91" i="3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G91" i="4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G91" i="5"/>
  <c r="H91" i="6"/>
  <c r="I91" i="6"/>
  <c r="I83" i="6" s="1"/>
  <c r="J91" i="6"/>
  <c r="K91" i="6"/>
  <c r="K83" i="6" s="1"/>
  <c r="L91" i="6"/>
  <c r="M91" i="6"/>
  <c r="N91" i="6"/>
  <c r="O91" i="6"/>
  <c r="P91" i="6"/>
  <c r="P83" i="6" s="1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AO91" i="6"/>
  <c r="G91" i="6"/>
  <c r="G83" i="6" s="1"/>
  <c r="F94" i="6"/>
  <c r="F94" i="5"/>
  <c r="F94" i="4"/>
  <c r="F34" i="5"/>
  <c r="F34" i="4"/>
  <c r="AP135" i="3"/>
  <c r="AQ135" i="3"/>
  <c r="AR135" i="3"/>
  <c r="AS135" i="3"/>
  <c r="AP130" i="3"/>
  <c r="AQ130" i="3"/>
  <c r="AR130" i="3"/>
  <c r="AS130" i="3"/>
  <c r="AP123" i="3"/>
  <c r="AQ123" i="3"/>
  <c r="AR123" i="3"/>
  <c r="AS123" i="3"/>
  <c r="AP111" i="3"/>
  <c r="AQ111" i="3"/>
  <c r="AR111" i="3"/>
  <c r="AS111" i="3"/>
  <c r="AP84" i="3"/>
  <c r="AQ84" i="3"/>
  <c r="AR84" i="3"/>
  <c r="AS84" i="3"/>
  <c r="AP76" i="3"/>
  <c r="AQ76" i="3"/>
  <c r="AR76" i="3"/>
  <c r="AS76" i="3"/>
  <c r="AP67" i="3"/>
  <c r="AQ67" i="3"/>
  <c r="AR67" i="3"/>
  <c r="AS67" i="3"/>
  <c r="AP46" i="3"/>
  <c r="AQ46" i="3"/>
  <c r="AR46" i="3"/>
  <c r="AS46" i="3"/>
  <c r="AP36" i="3"/>
  <c r="AQ36" i="3"/>
  <c r="AR36" i="3"/>
  <c r="AS36" i="3"/>
  <c r="AP8" i="3"/>
  <c r="AO36" i="3"/>
  <c r="AO46" i="3"/>
  <c r="AO76" i="3"/>
  <c r="AO84" i="3"/>
  <c r="AO123" i="3"/>
  <c r="AO130" i="3"/>
  <c r="AO135" i="3"/>
  <c r="Y5" i="3"/>
  <c r="Y135" i="3"/>
  <c r="Z135" i="3"/>
  <c r="AA135" i="3"/>
  <c r="AB135" i="3"/>
  <c r="AC135" i="3"/>
  <c r="AE135" i="3"/>
  <c r="AF135" i="3"/>
  <c r="AG135" i="3"/>
  <c r="AH135" i="3"/>
  <c r="AI135" i="3"/>
  <c r="AJ135" i="3"/>
  <c r="AK135" i="3"/>
  <c r="AL135" i="3"/>
  <c r="AM135" i="3"/>
  <c r="AN135" i="3"/>
  <c r="AT135" i="3"/>
  <c r="AZ135" i="3"/>
  <c r="BA135" i="3"/>
  <c r="BB135" i="3"/>
  <c r="Y130" i="3"/>
  <c r="Z130" i="3"/>
  <c r="AA130" i="3"/>
  <c r="AB130" i="3"/>
  <c r="AC130" i="3"/>
  <c r="AE130" i="3"/>
  <c r="AF130" i="3"/>
  <c r="AG130" i="3"/>
  <c r="AH130" i="3"/>
  <c r="AI130" i="3"/>
  <c r="AJ130" i="3"/>
  <c r="AK130" i="3"/>
  <c r="AL130" i="3"/>
  <c r="AM130" i="3"/>
  <c r="AN130" i="3"/>
  <c r="AT130" i="3"/>
  <c r="AZ130" i="3"/>
  <c r="BA130" i="3"/>
  <c r="BB130" i="3"/>
  <c r="Y123" i="3"/>
  <c r="Z123" i="3"/>
  <c r="AA123" i="3"/>
  <c r="AB123" i="3"/>
  <c r="AC123" i="3"/>
  <c r="AE123" i="3"/>
  <c r="AF123" i="3"/>
  <c r="AG123" i="3"/>
  <c r="AH123" i="3"/>
  <c r="AI123" i="3"/>
  <c r="AJ123" i="3"/>
  <c r="AK123" i="3"/>
  <c r="AL123" i="3"/>
  <c r="AM123" i="3"/>
  <c r="AN123" i="3"/>
  <c r="AT123" i="3"/>
  <c r="AZ123" i="3"/>
  <c r="BA123" i="3"/>
  <c r="BB123" i="3"/>
  <c r="Y111" i="3"/>
  <c r="Z111" i="3"/>
  <c r="AA111" i="3"/>
  <c r="AB111" i="3"/>
  <c r="AC111" i="3"/>
  <c r="AE111" i="3"/>
  <c r="AF111" i="3"/>
  <c r="AG111" i="3"/>
  <c r="AH111" i="3"/>
  <c r="AI111" i="3"/>
  <c r="AJ111" i="3"/>
  <c r="AK111" i="3"/>
  <c r="AL111" i="3"/>
  <c r="AM111" i="3"/>
  <c r="AN111" i="3"/>
  <c r="AT111" i="3"/>
  <c r="AZ111" i="3"/>
  <c r="BA111" i="3"/>
  <c r="BB111" i="3"/>
  <c r="Y84" i="3"/>
  <c r="Z84" i="3"/>
  <c r="AA84" i="3"/>
  <c r="AB84" i="3"/>
  <c r="AC84" i="3"/>
  <c r="AE84" i="3"/>
  <c r="AF84" i="3"/>
  <c r="AF83" i="3" s="1"/>
  <c r="AG84" i="3"/>
  <c r="AG83" i="3" s="1"/>
  <c r="AH84" i="3"/>
  <c r="AI84" i="3"/>
  <c r="AJ84" i="3"/>
  <c r="AK84" i="3"/>
  <c r="AL84" i="3"/>
  <c r="AM84" i="3"/>
  <c r="AN84" i="3"/>
  <c r="AZ84" i="3"/>
  <c r="BA84" i="3"/>
  <c r="BB84" i="3"/>
  <c r="Y76" i="3"/>
  <c r="Z76" i="3"/>
  <c r="AA76" i="3"/>
  <c r="AB76" i="3"/>
  <c r="AC76" i="3"/>
  <c r="AE76" i="3"/>
  <c r="AF76" i="3"/>
  <c r="AG76" i="3"/>
  <c r="AH76" i="3"/>
  <c r="AI76" i="3"/>
  <c r="AJ76" i="3"/>
  <c r="AK76" i="3"/>
  <c r="AL76" i="3"/>
  <c r="AM76" i="3"/>
  <c r="AN76" i="3"/>
  <c r="AT76" i="3"/>
  <c r="AZ76" i="3"/>
  <c r="BA76" i="3"/>
  <c r="BB76" i="3"/>
  <c r="AA67" i="3"/>
  <c r="AB67" i="3"/>
  <c r="AC67" i="3"/>
  <c r="AE67" i="3"/>
  <c r="AF67" i="3"/>
  <c r="AG67" i="3"/>
  <c r="AH67" i="3"/>
  <c r="AI67" i="3"/>
  <c r="AJ67" i="3"/>
  <c r="AK67" i="3"/>
  <c r="AL67" i="3"/>
  <c r="AM67" i="3"/>
  <c r="AN67" i="3"/>
  <c r="AT67" i="3"/>
  <c r="AZ67" i="3"/>
  <c r="BA67" i="3"/>
  <c r="BB67" i="3"/>
  <c r="Y46" i="3"/>
  <c r="Z46" i="3"/>
  <c r="AA46" i="3"/>
  <c r="AB46" i="3"/>
  <c r="AC46" i="3"/>
  <c r="AE46" i="3"/>
  <c r="AF46" i="3"/>
  <c r="AG46" i="3"/>
  <c r="AH46" i="3"/>
  <c r="AI46" i="3"/>
  <c r="AI45" i="3" s="1"/>
  <c r="AJ46" i="3"/>
  <c r="AK46" i="3"/>
  <c r="AL46" i="3"/>
  <c r="AM46" i="3"/>
  <c r="AN46" i="3"/>
  <c r="AT46" i="3"/>
  <c r="AZ46" i="3"/>
  <c r="BA46" i="3"/>
  <c r="BB46" i="3"/>
  <c r="Y36" i="3"/>
  <c r="AA36" i="3"/>
  <c r="AB36" i="3"/>
  <c r="AC36" i="3"/>
  <c r="AE36" i="3"/>
  <c r="AF36" i="3"/>
  <c r="AG36" i="3"/>
  <c r="AH36" i="3"/>
  <c r="AI36" i="3"/>
  <c r="AJ36" i="3"/>
  <c r="AK36" i="3"/>
  <c r="AL36" i="3"/>
  <c r="AM36" i="3"/>
  <c r="AN36" i="3"/>
  <c r="AT36" i="3"/>
  <c r="AZ36" i="3"/>
  <c r="BA36" i="3"/>
  <c r="BB36" i="3"/>
  <c r="G9" i="6"/>
  <c r="G9" i="5"/>
  <c r="G9" i="4"/>
  <c r="G9" i="3"/>
  <c r="F5" i="4"/>
  <c r="H3" i="12" s="1"/>
  <c r="F5" i="5"/>
  <c r="J3" i="12" s="1"/>
  <c r="F5" i="6"/>
  <c r="L3" i="12" s="1"/>
  <c r="X123" i="3"/>
  <c r="H123" i="3"/>
  <c r="M123" i="3"/>
  <c r="N123" i="3"/>
  <c r="O123" i="3"/>
  <c r="P123" i="3"/>
  <c r="Q123" i="3"/>
  <c r="R123" i="3"/>
  <c r="G123" i="3"/>
  <c r="H123" i="4"/>
  <c r="I123" i="4"/>
  <c r="J123" i="4"/>
  <c r="K123" i="4"/>
  <c r="L123" i="4"/>
  <c r="M123" i="4"/>
  <c r="N123" i="4"/>
  <c r="O123" i="4"/>
  <c r="P123" i="4"/>
  <c r="Q123" i="4"/>
  <c r="G123" i="4"/>
  <c r="Q123" i="5"/>
  <c r="H123" i="5"/>
  <c r="I123" i="5"/>
  <c r="J123" i="5"/>
  <c r="K123" i="5"/>
  <c r="L123" i="5"/>
  <c r="M123" i="5"/>
  <c r="N123" i="5"/>
  <c r="O123" i="5"/>
  <c r="P123" i="5"/>
  <c r="G123" i="5"/>
  <c r="Q123" i="6"/>
  <c r="H123" i="6"/>
  <c r="I123" i="6"/>
  <c r="J123" i="6"/>
  <c r="K123" i="6"/>
  <c r="L123" i="6"/>
  <c r="M123" i="6"/>
  <c r="N123" i="6"/>
  <c r="O123" i="6"/>
  <c r="P123" i="6"/>
  <c r="G123" i="6"/>
  <c r="Q46" i="6"/>
  <c r="H46" i="6"/>
  <c r="I46" i="6"/>
  <c r="J46" i="6"/>
  <c r="J45" i="6" s="1"/>
  <c r="K46" i="6"/>
  <c r="L46" i="6"/>
  <c r="M46" i="6"/>
  <c r="N46" i="6"/>
  <c r="O46" i="6"/>
  <c r="O45" i="6" s="1"/>
  <c r="P46" i="6"/>
  <c r="G46" i="6"/>
  <c r="F46" i="6" s="1"/>
  <c r="L46" i="12" s="1"/>
  <c r="H46" i="5"/>
  <c r="I46" i="5"/>
  <c r="J46" i="5"/>
  <c r="K46" i="5"/>
  <c r="L46" i="5"/>
  <c r="L45" i="5" s="1"/>
  <c r="M46" i="5"/>
  <c r="N46" i="5"/>
  <c r="O46" i="5"/>
  <c r="P46" i="5"/>
  <c r="Q46" i="5"/>
  <c r="G46" i="5"/>
  <c r="H46" i="3"/>
  <c r="M46" i="3"/>
  <c r="N46" i="3"/>
  <c r="O46" i="3"/>
  <c r="O45" i="3" s="1"/>
  <c r="P46" i="3"/>
  <c r="P45" i="3" s="1"/>
  <c r="Q46" i="3"/>
  <c r="R46" i="3"/>
  <c r="R45" i="3" s="1"/>
  <c r="X46" i="3"/>
  <c r="G46" i="3"/>
  <c r="H46" i="4"/>
  <c r="H45" i="4" s="1"/>
  <c r="I46" i="4"/>
  <c r="J46" i="4"/>
  <c r="K46" i="4"/>
  <c r="L46" i="4"/>
  <c r="M46" i="4"/>
  <c r="N46" i="4"/>
  <c r="N45" i="4" s="1"/>
  <c r="O46" i="4"/>
  <c r="O45" i="4" s="1"/>
  <c r="P46" i="4"/>
  <c r="Q46" i="4"/>
  <c r="G46" i="4"/>
  <c r="G84" i="6"/>
  <c r="G84" i="5"/>
  <c r="G84" i="4"/>
  <c r="H84" i="3"/>
  <c r="M84" i="3"/>
  <c r="M83" i="3" s="1"/>
  <c r="N84" i="3"/>
  <c r="O84" i="3"/>
  <c r="P84" i="3"/>
  <c r="Q84" i="3"/>
  <c r="R84" i="3"/>
  <c r="X84" i="3"/>
  <c r="X83" i="3" s="1"/>
  <c r="G84" i="3"/>
  <c r="H135" i="6"/>
  <c r="I135" i="6"/>
  <c r="J135" i="6"/>
  <c r="K135" i="6"/>
  <c r="L135" i="6"/>
  <c r="M135" i="6"/>
  <c r="N135" i="6"/>
  <c r="O135" i="6"/>
  <c r="P135" i="6"/>
  <c r="Q135" i="6"/>
  <c r="G135" i="6"/>
  <c r="H130" i="6"/>
  <c r="I130" i="6"/>
  <c r="J130" i="6"/>
  <c r="K130" i="6"/>
  <c r="L130" i="6"/>
  <c r="M130" i="6"/>
  <c r="N130" i="6"/>
  <c r="O130" i="6"/>
  <c r="P130" i="6"/>
  <c r="Q130" i="6"/>
  <c r="G130" i="6"/>
  <c r="H115" i="6"/>
  <c r="I115" i="6"/>
  <c r="J115" i="6"/>
  <c r="K115" i="6"/>
  <c r="L115" i="6"/>
  <c r="M115" i="6"/>
  <c r="N115" i="6"/>
  <c r="O115" i="6"/>
  <c r="P115" i="6"/>
  <c r="Q115" i="6"/>
  <c r="G115" i="6"/>
  <c r="H111" i="6"/>
  <c r="I111" i="6"/>
  <c r="J111" i="6"/>
  <c r="K111" i="6"/>
  <c r="L111" i="6"/>
  <c r="M111" i="6"/>
  <c r="N111" i="6"/>
  <c r="O111" i="6"/>
  <c r="P111" i="6"/>
  <c r="Q111" i="6"/>
  <c r="G111" i="6"/>
  <c r="J83" i="6"/>
  <c r="H76" i="6"/>
  <c r="I76" i="6"/>
  <c r="J76" i="6"/>
  <c r="K76" i="6"/>
  <c r="L76" i="6"/>
  <c r="M76" i="6"/>
  <c r="N76" i="6"/>
  <c r="O76" i="6"/>
  <c r="P76" i="6"/>
  <c r="Q76" i="6"/>
  <c r="G76" i="6"/>
  <c r="H67" i="6"/>
  <c r="I67" i="6"/>
  <c r="J67" i="6"/>
  <c r="K67" i="6"/>
  <c r="L67" i="6"/>
  <c r="M67" i="6"/>
  <c r="N67" i="6"/>
  <c r="O67" i="6"/>
  <c r="P67" i="6"/>
  <c r="Q67" i="6"/>
  <c r="G67" i="6"/>
  <c r="H56" i="6"/>
  <c r="H45" i="6" s="1"/>
  <c r="I56" i="6"/>
  <c r="J56" i="6"/>
  <c r="K56" i="6"/>
  <c r="L56" i="6"/>
  <c r="M56" i="6"/>
  <c r="N56" i="6"/>
  <c r="O56" i="6"/>
  <c r="P56" i="6"/>
  <c r="Q56" i="6"/>
  <c r="G56" i="6"/>
  <c r="H36" i="6"/>
  <c r="I36" i="6"/>
  <c r="J36" i="6"/>
  <c r="K36" i="6"/>
  <c r="L36" i="6"/>
  <c r="M36" i="6"/>
  <c r="N36" i="6"/>
  <c r="O36" i="6"/>
  <c r="P36" i="6"/>
  <c r="Q36" i="6"/>
  <c r="G36" i="6"/>
  <c r="G24" i="6"/>
  <c r="H135" i="5"/>
  <c r="I135" i="5"/>
  <c r="J135" i="5"/>
  <c r="K135" i="5"/>
  <c r="L135" i="5"/>
  <c r="M135" i="5"/>
  <c r="N135" i="5"/>
  <c r="O135" i="5"/>
  <c r="P135" i="5"/>
  <c r="Q135" i="5"/>
  <c r="G135" i="5"/>
  <c r="H130" i="5"/>
  <c r="I130" i="5"/>
  <c r="J130" i="5"/>
  <c r="K130" i="5"/>
  <c r="L130" i="5"/>
  <c r="M130" i="5"/>
  <c r="N130" i="5"/>
  <c r="O130" i="5"/>
  <c r="P130" i="5"/>
  <c r="Q130" i="5"/>
  <c r="G130" i="5"/>
  <c r="H115" i="5"/>
  <c r="I115" i="5"/>
  <c r="J115" i="5"/>
  <c r="K115" i="5"/>
  <c r="L115" i="5"/>
  <c r="M115" i="5"/>
  <c r="N115" i="5"/>
  <c r="O115" i="5"/>
  <c r="P115" i="5"/>
  <c r="Q115" i="5"/>
  <c r="G115" i="5"/>
  <c r="H111" i="5"/>
  <c r="I111" i="5"/>
  <c r="J111" i="5"/>
  <c r="K111" i="5"/>
  <c r="L111" i="5"/>
  <c r="M111" i="5"/>
  <c r="N111" i="5"/>
  <c r="O111" i="5"/>
  <c r="P111" i="5"/>
  <c r="Q111" i="5"/>
  <c r="G111" i="5"/>
  <c r="H76" i="5"/>
  <c r="I76" i="5"/>
  <c r="J76" i="5"/>
  <c r="K76" i="5"/>
  <c r="L76" i="5"/>
  <c r="M76" i="5"/>
  <c r="N76" i="5"/>
  <c r="O76" i="5"/>
  <c r="P76" i="5"/>
  <c r="Q76" i="5"/>
  <c r="G76" i="5"/>
  <c r="H67" i="5"/>
  <c r="I67" i="5"/>
  <c r="J67" i="5"/>
  <c r="K67" i="5"/>
  <c r="L67" i="5"/>
  <c r="M67" i="5"/>
  <c r="M66" i="5" s="1"/>
  <c r="N67" i="5"/>
  <c r="O67" i="5"/>
  <c r="P67" i="5"/>
  <c r="Q67" i="5"/>
  <c r="G67" i="5"/>
  <c r="H56" i="5"/>
  <c r="I56" i="5"/>
  <c r="J56" i="5"/>
  <c r="K56" i="5"/>
  <c r="L56" i="5"/>
  <c r="M56" i="5"/>
  <c r="N56" i="5"/>
  <c r="O56" i="5"/>
  <c r="P56" i="5"/>
  <c r="Q56" i="5"/>
  <c r="Q45" i="5" s="1"/>
  <c r="G56" i="5"/>
  <c r="I36" i="5"/>
  <c r="J36" i="5"/>
  <c r="K36" i="5"/>
  <c r="L36" i="5"/>
  <c r="M36" i="5"/>
  <c r="N36" i="5"/>
  <c r="O36" i="5"/>
  <c r="P36" i="5"/>
  <c r="Q36" i="5"/>
  <c r="G36" i="5"/>
  <c r="G24" i="5"/>
  <c r="H135" i="4"/>
  <c r="I135" i="4"/>
  <c r="J135" i="4"/>
  <c r="K135" i="4"/>
  <c r="L135" i="4"/>
  <c r="M135" i="4"/>
  <c r="N135" i="4"/>
  <c r="O135" i="4"/>
  <c r="P135" i="4"/>
  <c r="Q135" i="4"/>
  <c r="G135" i="4"/>
  <c r="H130" i="4"/>
  <c r="I130" i="4"/>
  <c r="J130" i="4"/>
  <c r="K130" i="4"/>
  <c r="L130" i="4"/>
  <c r="M130" i="4"/>
  <c r="N130" i="4"/>
  <c r="O130" i="4"/>
  <c r="P130" i="4"/>
  <c r="Q130" i="4"/>
  <c r="G130" i="4"/>
  <c r="I115" i="4"/>
  <c r="J115" i="4"/>
  <c r="K115" i="4"/>
  <c r="K97" i="4" s="1"/>
  <c r="L115" i="4"/>
  <c r="L97" i="4" s="1"/>
  <c r="M115" i="4"/>
  <c r="N115" i="4"/>
  <c r="O115" i="4"/>
  <c r="P115" i="4"/>
  <c r="Q115" i="4"/>
  <c r="G115" i="4"/>
  <c r="H111" i="4"/>
  <c r="I111" i="4"/>
  <c r="J111" i="4"/>
  <c r="K111" i="4"/>
  <c r="L111" i="4"/>
  <c r="M111" i="4"/>
  <c r="N111" i="4"/>
  <c r="O111" i="4"/>
  <c r="P111" i="4"/>
  <c r="Q111" i="4"/>
  <c r="G111" i="4"/>
  <c r="J83" i="4"/>
  <c r="L83" i="4"/>
  <c r="G83" i="4"/>
  <c r="H76" i="4"/>
  <c r="I76" i="4"/>
  <c r="J76" i="4"/>
  <c r="K76" i="4"/>
  <c r="L76" i="4"/>
  <c r="M76" i="4"/>
  <c r="N76" i="4"/>
  <c r="O76" i="4"/>
  <c r="P76" i="4"/>
  <c r="Q76" i="4"/>
  <c r="G76" i="4"/>
  <c r="H67" i="4"/>
  <c r="I67" i="4"/>
  <c r="J67" i="4"/>
  <c r="K67" i="4"/>
  <c r="L67" i="4"/>
  <c r="M67" i="4"/>
  <c r="M66" i="4" s="1"/>
  <c r="N67" i="4"/>
  <c r="N66" i="4" s="1"/>
  <c r="O67" i="4"/>
  <c r="O66" i="4" s="1"/>
  <c r="P67" i="4"/>
  <c r="P66" i="4" s="1"/>
  <c r="Q67" i="4"/>
  <c r="G67" i="4"/>
  <c r="H56" i="4"/>
  <c r="I56" i="4"/>
  <c r="J56" i="4"/>
  <c r="K56" i="4"/>
  <c r="L56" i="4"/>
  <c r="M56" i="4"/>
  <c r="N56" i="4"/>
  <c r="O56" i="4"/>
  <c r="P56" i="4"/>
  <c r="Q56" i="4"/>
  <c r="G56" i="4"/>
  <c r="F56" i="4" s="1"/>
  <c r="H56" i="12" s="1"/>
  <c r="H36" i="4"/>
  <c r="G36" i="4"/>
  <c r="G24" i="4"/>
  <c r="G8" i="4"/>
  <c r="H135" i="3"/>
  <c r="M135" i="3"/>
  <c r="N135" i="3"/>
  <c r="O135" i="3"/>
  <c r="P135" i="3"/>
  <c r="Q135" i="3"/>
  <c r="R135" i="3"/>
  <c r="X135" i="3"/>
  <c r="G135" i="3"/>
  <c r="H130" i="3"/>
  <c r="M130" i="3"/>
  <c r="N130" i="3"/>
  <c r="O130" i="3"/>
  <c r="P130" i="3"/>
  <c r="Q130" i="3"/>
  <c r="R130" i="3"/>
  <c r="X130" i="3"/>
  <c r="G130" i="3"/>
  <c r="G115" i="3"/>
  <c r="H111" i="3"/>
  <c r="M111" i="3"/>
  <c r="N111" i="3"/>
  <c r="O111" i="3"/>
  <c r="P111" i="3"/>
  <c r="Q111" i="3"/>
  <c r="R111" i="3"/>
  <c r="X111" i="3"/>
  <c r="G111" i="3"/>
  <c r="H76" i="3"/>
  <c r="M76" i="3"/>
  <c r="N76" i="3"/>
  <c r="O76" i="3"/>
  <c r="P76" i="3"/>
  <c r="Q76" i="3"/>
  <c r="R76" i="3"/>
  <c r="X76" i="3"/>
  <c r="G76" i="3"/>
  <c r="M67" i="3"/>
  <c r="N67" i="3"/>
  <c r="O67" i="3"/>
  <c r="P67" i="3"/>
  <c r="Q67" i="3"/>
  <c r="R67" i="3"/>
  <c r="X67" i="3"/>
  <c r="G67" i="3"/>
  <c r="G66" i="3" s="1"/>
  <c r="G56" i="3"/>
  <c r="H36" i="3"/>
  <c r="M36" i="3"/>
  <c r="N36" i="3"/>
  <c r="O36" i="3"/>
  <c r="P36" i="3"/>
  <c r="Q36" i="3"/>
  <c r="R36" i="3"/>
  <c r="X36" i="3"/>
  <c r="G36" i="3"/>
  <c r="G24" i="3"/>
  <c r="G8" i="3" s="1"/>
  <c r="F48" i="6"/>
  <c r="F139" i="6"/>
  <c r="F138" i="6"/>
  <c r="F137" i="6"/>
  <c r="F134" i="6"/>
  <c r="F133" i="6"/>
  <c r="F132" i="6"/>
  <c r="F127" i="6"/>
  <c r="F126" i="6"/>
  <c r="F125" i="6"/>
  <c r="F120" i="6"/>
  <c r="F119" i="6"/>
  <c r="F118" i="6"/>
  <c r="F117" i="6"/>
  <c r="F114" i="6"/>
  <c r="F113" i="6"/>
  <c r="F93" i="6"/>
  <c r="L93" i="12" s="1"/>
  <c r="F88" i="6"/>
  <c r="F87" i="6"/>
  <c r="F86" i="6"/>
  <c r="F82" i="6"/>
  <c r="F81" i="6"/>
  <c r="F80" i="6"/>
  <c r="F79" i="6"/>
  <c r="F78" i="6"/>
  <c r="F75" i="6"/>
  <c r="F74" i="6"/>
  <c r="F73" i="6"/>
  <c r="F72" i="6"/>
  <c r="F71" i="6"/>
  <c r="F70" i="6"/>
  <c r="F69" i="6"/>
  <c r="F64" i="6"/>
  <c r="F63" i="6"/>
  <c r="F55" i="6"/>
  <c r="F54" i="6"/>
  <c r="F53" i="6"/>
  <c r="F52" i="6"/>
  <c r="F51" i="6"/>
  <c r="F50" i="6"/>
  <c r="F49" i="6"/>
  <c r="F44" i="6"/>
  <c r="F43" i="6"/>
  <c r="F42" i="6"/>
  <c r="F41" i="6"/>
  <c r="F40" i="6"/>
  <c r="F39" i="6"/>
  <c r="F38" i="6"/>
  <c r="F32" i="6"/>
  <c r="F31" i="6"/>
  <c r="F30" i="6"/>
  <c r="F29" i="6"/>
  <c r="F28" i="6"/>
  <c r="F27" i="6"/>
  <c r="F26" i="6"/>
  <c r="F21" i="6"/>
  <c r="F20" i="6"/>
  <c r="F19" i="6"/>
  <c r="F17" i="6"/>
  <c r="F16" i="6"/>
  <c r="F15" i="6"/>
  <c r="F14" i="6"/>
  <c r="F12" i="6"/>
  <c r="F139" i="5"/>
  <c r="F138" i="5"/>
  <c r="F137" i="5"/>
  <c r="F134" i="5"/>
  <c r="F133" i="5"/>
  <c r="F132" i="5"/>
  <c r="F126" i="5"/>
  <c r="F125" i="5"/>
  <c r="F120" i="5"/>
  <c r="F119" i="5"/>
  <c r="F118" i="5"/>
  <c r="F117" i="5"/>
  <c r="F114" i="5"/>
  <c r="F113" i="5"/>
  <c r="F107" i="5"/>
  <c r="F106" i="5"/>
  <c r="F105" i="5"/>
  <c r="F104" i="5"/>
  <c r="F103" i="5"/>
  <c r="F102" i="5"/>
  <c r="F101" i="5"/>
  <c r="F100" i="5"/>
  <c r="F93" i="5"/>
  <c r="J93" i="12" s="1"/>
  <c r="F88" i="5"/>
  <c r="F87" i="5"/>
  <c r="F86" i="5"/>
  <c r="F82" i="5"/>
  <c r="F81" i="5"/>
  <c r="F80" i="5"/>
  <c r="F79" i="5"/>
  <c r="F78" i="5"/>
  <c r="F75" i="5"/>
  <c r="F74" i="5"/>
  <c r="F73" i="5"/>
  <c r="F72" i="5"/>
  <c r="F71" i="5"/>
  <c r="F70" i="5"/>
  <c r="F69" i="5"/>
  <c r="F55" i="5"/>
  <c r="F54" i="5"/>
  <c r="F53" i="5"/>
  <c r="F52" i="5"/>
  <c r="F51" i="5"/>
  <c r="F50" i="5"/>
  <c r="F49" i="5"/>
  <c r="F48" i="5"/>
  <c r="F44" i="5"/>
  <c r="F43" i="5"/>
  <c r="F42" i="5"/>
  <c r="F41" i="5"/>
  <c r="F40" i="5"/>
  <c r="F39" i="5"/>
  <c r="F33" i="5"/>
  <c r="F32" i="5"/>
  <c r="F31" i="5"/>
  <c r="F30" i="5"/>
  <c r="J30" i="12" s="1"/>
  <c r="F29" i="5"/>
  <c r="F28" i="5"/>
  <c r="F27" i="5"/>
  <c r="F26" i="5"/>
  <c r="F21" i="5"/>
  <c r="F20" i="5"/>
  <c r="F19" i="5"/>
  <c r="F17" i="5"/>
  <c r="F16" i="5"/>
  <c r="F15" i="5"/>
  <c r="F14" i="5"/>
  <c r="F12" i="5"/>
  <c r="F139" i="4"/>
  <c r="F138" i="4"/>
  <c r="F137" i="4"/>
  <c r="F134" i="4"/>
  <c r="F133" i="4"/>
  <c r="F132" i="4"/>
  <c r="F127" i="4"/>
  <c r="F125" i="4"/>
  <c r="F120" i="4"/>
  <c r="F119" i="4"/>
  <c r="F118" i="4"/>
  <c r="F117" i="4"/>
  <c r="F116" i="4"/>
  <c r="H116" i="12" s="1"/>
  <c r="F114" i="4"/>
  <c r="F113" i="4"/>
  <c r="F108" i="4"/>
  <c r="F107" i="4"/>
  <c r="F106" i="4"/>
  <c r="F105" i="4"/>
  <c r="F104" i="4"/>
  <c r="F103" i="4"/>
  <c r="F102" i="4"/>
  <c r="F101" i="4"/>
  <c r="F100" i="4"/>
  <c r="F93" i="4"/>
  <c r="H93" i="12" s="1"/>
  <c r="F88" i="4"/>
  <c r="F87" i="4"/>
  <c r="F86" i="4"/>
  <c r="F82" i="4"/>
  <c r="F81" i="4"/>
  <c r="F80" i="4"/>
  <c r="F79" i="4"/>
  <c r="F78" i="4"/>
  <c r="F75" i="4"/>
  <c r="F74" i="4"/>
  <c r="F73" i="4"/>
  <c r="F72" i="4"/>
  <c r="F71" i="4"/>
  <c r="F70" i="4"/>
  <c r="F69" i="4"/>
  <c r="F64" i="4"/>
  <c r="F63" i="4"/>
  <c r="F55" i="4"/>
  <c r="F54" i="4"/>
  <c r="F53" i="4"/>
  <c r="F52" i="4"/>
  <c r="F51" i="4"/>
  <c r="F50" i="4"/>
  <c r="F48" i="4"/>
  <c r="F44" i="4"/>
  <c r="F43" i="4"/>
  <c r="F42" i="4"/>
  <c r="F41" i="4"/>
  <c r="F40" i="4"/>
  <c r="F39" i="4"/>
  <c r="F38" i="4"/>
  <c r="F33" i="4"/>
  <c r="F32" i="4"/>
  <c r="F31" i="4"/>
  <c r="F30" i="4"/>
  <c r="F29" i="4"/>
  <c r="F28" i="4"/>
  <c r="F27" i="4"/>
  <c r="F26" i="4"/>
  <c r="F21" i="4"/>
  <c r="F20" i="4"/>
  <c r="F19" i="4"/>
  <c r="F17" i="4"/>
  <c r="F16" i="4"/>
  <c r="F15" i="4"/>
  <c r="F14" i="4"/>
  <c r="F13" i="4"/>
  <c r="F12" i="4"/>
  <c r="P45" i="6" l="1"/>
  <c r="M97" i="6"/>
  <c r="L45" i="6"/>
  <c r="K45" i="6"/>
  <c r="H8" i="6"/>
  <c r="O97" i="6"/>
  <c r="N97" i="6"/>
  <c r="M45" i="6"/>
  <c r="Q66" i="6"/>
  <c r="Q65" i="6" s="1"/>
  <c r="H83" i="6"/>
  <c r="I45" i="6"/>
  <c r="L83" i="5"/>
  <c r="O97" i="5"/>
  <c r="N97" i="5"/>
  <c r="N45" i="5"/>
  <c r="M45" i="5"/>
  <c r="N83" i="5"/>
  <c r="M83" i="5"/>
  <c r="M8" i="5"/>
  <c r="J45" i="5"/>
  <c r="M97" i="5"/>
  <c r="I45" i="5"/>
  <c r="K45" i="5"/>
  <c r="K97" i="5"/>
  <c r="Q83" i="5"/>
  <c r="P83" i="5"/>
  <c r="F84" i="4"/>
  <c r="H84" i="12" s="1"/>
  <c r="G45" i="4"/>
  <c r="H8" i="4"/>
  <c r="AZ66" i="3"/>
  <c r="AX66" i="3"/>
  <c r="Y97" i="3"/>
  <c r="AH83" i="3"/>
  <c r="Y66" i="3"/>
  <c r="AK45" i="3"/>
  <c r="AK7" i="3" s="1"/>
  <c r="AL8" i="3"/>
  <c r="AJ45" i="3"/>
  <c r="AJ7" i="3" s="1"/>
  <c r="J45" i="3"/>
  <c r="J7" i="3" s="1"/>
  <c r="L122" i="3"/>
  <c r="AQ8" i="3"/>
  <c r="AS97" i="3"/>
  <c r="M122" i="3"/>
  <c r="AR97" i="3"/>
  <c r="L45" i="3"/>
  <c r="L7" i="3" s="1"/>
  <c r="H122" i="3"/>
  <c r="AQ97" i="3"/>
  <c r="AL45" i="3"/>
  <c r="AL7" i="3" s="1"/>
  <c r="J97" i="6"/>
  <c r="Q122" i="6"/>
  <c r="I97" i="6"/>
  <c r="J8" i="6"/>
  <c r="J7" i="6" s="1"/>
  <c r="F135" i="6"/>
  <c r="L135" i="12" s="1"/>
  <c r="I8" i="6"/>
  <c r="I7" i="6" s="1"/>
  <c r="O66" i="6"/>
  <c r="L97" i="6"/>
  <c r="L96" i="6" s="1"/>
  <c r="G8" i="6"/>
  <c r="P66" i="6"/>
  <c r="O83" i="6"/>
  <c r="O65" i="6" s="1"/>
  <c r="F18" i="6"/>
  <c r="L18" i="12" s="1"/>
  <c r="M66" i="6"/>
  <c r="N66" i="6"/>
  <c r="L66" i="6"/>
  <c r="L65" i="6" s="1"/>
  <c r="K66" i="6"/>
  <c r="K65" i="6" s="1"/>
  <c r="G122" i="6"/>
  <c r="K97" i="6"/>
  <c r="P122" i="6"/>
  <c r="G97" i="6"/>
  <c r="G96" i="6" s="1"/>
  <c r="F130" i="6"/>
  <c r="L130" i="12" s="1"/>
  <c r="P97" i="6"/>
  <c r="H7" i="6"/>
  <c r="L122" i="6"/>
  <c r="J66" i="6"/>
  <c r="J65" i="6" s="1"/>
  <c r="N122" i="6"/>
  <c r="N96" i="6" s="1"/>
  <c r="M122" i="6"/>
  <c r="M96" i="6" s="1"/>
  <c r="I66" i="6"/>
  <c r="I65" i="6" s="1"/>
  <c r="H98" i="6"/>
  <c r="H97" i="6" s="1"/>
  <c r="N83" i="6"/>
  <c r="K122" i="6"/>
  <c r="K96" i="6" s="1"/>
  <c r="F56" i="6"/>
  <c r="L56" i="12" s="1"/>
  <c r="Q45" i="6"/>
  <c r="N8" i="6"/>
  <c r="F36" i="6"/>
  <c r="L36" i="12" s="1"/>
  <c r="F111" i="6"/>
  <c r="M8" i="6"/>
  <c r="M83" i="6"/>
  <c r="K8" i="6"/>
  <c r="K7" i="6" s="1"/>
  <c r="H122" i="6"/>
  <c r="Q97" i="6"/>
  <c r="G66" i="6"/>
  <c r="G65" i="6" s="1"/>
  <c r="F11" i="6"/>
  <c r="L11" i="12" s="1"/>
  <c r="J122" i="6"/>
  <c r="O8" i="6"/>
  <c r="O7" i="6" s="1"/>
  <c r="F115" i="6"/>
  <c r="L115" i="12" s="1"/>
  <c r="F123" i="6"/>
  <c r="L123" i="12" s="1"/>
  <c r="I122" i="6"/>
  <c r="I96" i="6" s="1"/>
  <c r="N45" i="6"/>
  <c r="Q8" i="6"/>
  <c r="Q7" i="6" s="1"/>
  <c r="L8" i="6"/>
  <c r="L7" i="6" s="1"/>
  <c r="P7" i="6"/>
  <c r="P6" i="6" s="1"/>
  <c r="P2" i="6" s="1"/>
  <c r="L97" i="5"/>
  <c r="L96" i="5" s="1"/>
  <c r="F24" i="5"/>
  <c r="J24" i="12" s="1"/>
  <c r="H122" i="5"/>
  <c r="F38" i="5"/>
  <c r="J38" i="12" s="1"/>
  <c r="H98" i="5"/>
  <c r="H97" i="5" s="1"/>
  <c r="H45" i="5"/>
  <c r="N8" i="5"/>
  <c r="N7" i="5" s="1"/>
  <c r="M114" i="12"/>
  <c r="M59" i="12"/>
  <c r="F76" i="5"/>
  <c r="J76" i="12" s="1"/>
  <c r="L8" i="5"/>
  <c r="L7" i="5" s="1"/>
  <c r="M82" i="12"/>
  <c r="M58" i="12"/>
  <c r="M32" i="12"/>
  <c r="F84" i="5"/>
  <c r="J84" i="12" s="1"/>
  <c r="F36" i="5"/>
  <c r="J36" i="12" s="1"/>
  <c r="L122" i="5"/>
  <c r="P45" i="5"/>
  <c r="J83" i="5"/>
  <c r="I97" i="5"/>
  <c r="O45" i="5"/>
  <c r="I83" i="5"/>
  <c r="M108" i="12"/>
  <c r="Q122" i="5"/>
  <c r="F91" i="5"/>
  <c r="J91" i="12" s="1"/>
  <c r="J97" i="5"/>
  <c r="J96" i="5" s="1"/>
  <c r="I8" i="5"/>
  <c r="I7" i="5" s="1"/>
  <c r="G66" i="5"/>
  <c r="Q66" i="5"/>
  <c r="Q65" i="5" s="1"/>
  <c r="F135" i="5"/>
  <c r="J135" i="12" s="1"/>
  <c r="M133" i="12"/>
  <c r="H83" i="5"/>
  <c r="M7" i="5"/>
  <c r="Q97" i="5"/>
  <c r="P66" i="5"/>
  <c r="Q8" i="5"/>
  <c r="Q7" i="5" s="1"/>
  <c r="F67" i="5"/>
  <c r="J67" i="12" s="1"/>
  <c r="O66" i="5"/>
  <c r="O65" i="5" s="1"/>
  <c r="O122" i="5"/>
  <c r="P8" i="5"/>
  <c r="K122" i="5"/>
  <c r="J122" i="5"/>
  <c r="I122" i="5"/>
  <c r="K8" i="5"/>
  <c r="K7" i="5" s="1"/>
  <c r="J8" i="5"/>
  <c r="J7" i="5" s="1"/>
  <c r="G122" i="5"/>
  <c r="N66" i="5"/>
  <c r="N65" i="5" s="1"/>
  <c r="N122" i="5"/>
  <c r="G45" i="5"/>
  <c r="P122" i="5"/>
  <c r="M129" i="12"/>
  <c r="M103" i="12"/>
  <c r="H8" i="5"/>
  <c r="O8" i="5"/>
  <c r="F115" i="5"/>
  <c r="J115" i="12" s="1"/>
  <c r="G97" i="5"/>
  <c r="F123" i="5"/>
  <c r="J123" i="12" s="1"/>
  <c r="P97" i="5"/>
  <c r="P96" i="5" s="1"/>
  <c r="F111" i="5"/>
  <c r="J111" i="12" s="1"/>
  <c r="F56" i="5"/>
  <c r="J56" i="12" s="1"/>
  <c r="F9" i="5"/>
  <c r="J9" i="12" s="1"/>
  <c r="M65" i="5"/>
  <c r="M122" i="5"/>
  <c r="M96" i="5" s="1"/>
  <c r="M6" i="5" s="1"/>
  <c r="M2" i="5" s="1"/>
  <c r="K83" i="5"/>
  <c r="M102" i="12"/>
  <c r="G97" i="4"/>
  <c r="F135" i="4"/>
  <c r="J122" i="4"/>
  <c r="I122" i="4"/>
  <c r="F67" i="4"/>
  <c r="H67" i="12" s="1"/>
  <c r="Q66" i="4"/>
  <c r="M97" i="4"/>
  <c r="F98" i="4"/>
  <c r="H98" i="12" s="1"/>
  <c r="F24" i="4"/>
  <c r="H24" i="12" s="1"/>
  <c r="M122" i="4"/>
  <c r="M96" i="4" s="1"/>
  <c r="M113" i="12"/>
  <c r="F111" i="4"/>
  <c r="L122" i="4"/>
  <c r="L96" i="4" s="1"/>
  <c r="M75" i="12"/>
  <c r="M27" i="12"/>
  <c r="Q45" i="4"/>
  <c r="Q7" i="4" s="1"/>
  <c r="F130" i="4"/>
  <c r="H130" i="12" s="1"/>
  <c r="K122" i="4"/>
  <c r="K96" i="4" s="1"/>
  <c r="K83" i="4"/>
  <c r="F11" i="4"/>
  <c r="H11" i="12" s="1"/>
  <c r="G7" i="4"/>
  <c r="Q97" i="4"/>
  <c r="O97" i="4"/>
  <c r="P122" i="4"/>
  <c r="P8" i="4"/>
  <c r="Q83" i="4"/>
  <c r="Q65" i="4" s="1"/>
  <c r="N97" i="4"/>
  <c r="N96" i="4" s="1"/>
  <c r="O122" i="4"/>
  <c r="P45" i="4"/>
  <c r="H122" i="4"/>
  <c r="P97" i="4"/>
  <c r="O8" i="4"/>
  <c r="O7" i="4" s="1"/>
  <c r="P83" i="4"/>
  <c r="P65" i="4" s="1"/>
  <c r="O83" i="4"/>
  <c r="O65" i="4" s="1"/>
  <c r="N83" i="4"/>
  <c r="N65" i="4" s="1"/>
  <c r="F76" i="4"/>
  <c r="H76" i="12" s="1"/>
  <c r="M45" i="4"/>
  <c r="J8" i="4"/>
  <c r="K8" i="4"/>
  <c r="K7" i="4" s="1"/>
  <c r="M83" i="4"/>
  <c r="M65" i="4" s="1"/>
  <c r="N122" i="4"/>
  <c r="N8" i="4"/>
  <c r="N7" i="4" s="1"/>
  <c r="I8" i="4"/>
  <c r="M8" i="4"/>
  <c r="F18" i="4"/>
  <c r="L8" i="4"/>
  <c r="G122" i="4"/>
  <c r="G96" i="4" s="1"/>
  <c r="Q122" i="4"/>
  <c r="F115" i="4"/>
  <c r="L45" i="4"/>
  <c r="K45" i="4"/>
  <c r="J45" i="4"/>
  <c r="J97" i="4"/>
  <c r="J96" i="4" s="1"/>
  <c r="G66" i="4"/>
  <c r="G65" i="4" s="1"/>
  <c r="I45" i="4"/>
  <c r="I97" i="4"/>
  <c r="I96" i="4" s="1"/>
  <c r="I83" i="4"/>
  <c r="M97" i="3"/>
  <c r="AA8" i="3"/>
  <c r="P8" i="3"/>
  <c r="P7" i="3" s="1"/>
  <c r="AD135" i="3"/>
  <c r="BB45" i="3"/>
  <c r="AL83" i="3"/>
  <c r="AK97" i="3"/>
  <c r="AK83" i="3"/>
  <c r="AJ97" i="3"/>
  <c r="AT83" i="3"/>
  <c r="AJ83" i="3"/>
  <c r="AI97" i="3"/>
  <c r="AI96" i="3" s="1"/>
  <c r="AI83" i="3"/>
  <c r="AT97" i="3"/>
  <c r="AS8" i="3"/>
  <c r="AN45" i="3"/>
  <c r="AM45" i="3"/>
  <c r="L8" i="3"/>
  <c r="AS66" i="3"/>
  <c r="AE83" i="3"/>
  <c r="F115" i="3"/>
  <c r="M104" i="12"/>
  <c r="H98" i="3"/>
  <c r="H97" i="3" s="1"/>
  <c r="P122" i="3"/>
  <c r="K122" i="3"/>
  <c r="AY8" i="3"/>
  <c r="X8" i="3"/>
  <c r="AX8" i="3"/>
  <c r="P83" i="3"/>
  <c r="P65" i="3" s="1"/>
  <c r="F107" i="3"/>
  <c r="F107" i="12" s="1"/>
  <c r="AX83" i="3"/>
  <c r="AX65" i="3" s="1"/>
  <c r="O83" i="3"/>
  <c r="N97" i="3"/>
  <c r="L83" i="3"/>
  <c r="L65" i="3" s="1"/>
  <c r="AF8" i="3"/>
  <c r="K83" i="3"/>
  <c r="K65" i="3" s="1"/>
  <c r="K8" i="3"/>
  <c r="K7" i="3" s="1"/>
  <c r="R97" i="3"/>
  <c r="Y8" i="3"/>
  <c r="Q83" i="3"/>
  <c r="X45" i="3"/>
  <c r="AQ66" i="3"/>
  <c r="N83" i="3"/>
  <c r="AN97" i="3"/>
  <c r="Q45" i="3"/>
  <c r="AL98" i="3"/>
  <c r="AT45" i="3"/>
  <c r="I122" i="3"/>
  <c r="AG8" i="3"/>
  <c r="AG7" i="3" s="1"/>
  <c r="I8" i="3"/>
  <c r="I7" i="3" s="1"/>
  <c r="AD8" i="3"/>
  <c r="N122" i="3"/>
  <c r="F27" i="3"/>
  <c r="F27" i="12" s="1"/>
  <c r="Q8" i="3"/>
  <c r="N45" i="3"/>
  <c r="Z66" i="3"/>
  <c r="BA97" i="3"/>
  <c r="R83" i="3"/>
  <c r="AB8" i="3"/>
  <c r="O8" i="3"/>
  <c r="O7" i="3" s="1"/>
  <c r="AR83" i="3"/>
  <c r="AU97" i="3"/>
  <c r="AE8" i="3"/>
  <c r="AM8" i="3"/>
  <c r="H45" i="3"/>
  <c r="AG97" i="3"/>
  <c r="AU45" i="3"/>
  <c r="AQ83" i="3"/>
  <c r="AF97" i="3"/>
  <c r="AY66" i="3"/>
  <c r="AY65" i="3" s="1"/>
  <c r="M55" i="12"/>
  <c r="H83" i="3"/>
  <c r="Z8" i="3"/>
  <c r="G45" i="3"/>
  <c r="G7" i="3" s="1"/>
  <c r="AI66" i="3"/>
  <c r="AC83" i="3"/>
  <c r="AE97" i="3"/>
  <c r="F69" i="3"/>
  <c r="M29" i="12"/>
  <c r="O122" i="3"/>
  <c r="AC97" i="3"/>
  <c r="AQ45" i="3"/>
  <c r="AP97" i="3"/>
  <c r="J67" i="3"/>
  <c r="J66" i="3" s="1"/>
  <c r="J65" i="3" s="1"/>
  <c r="M45" i="3"/>
  <c r="AH45" i="3"/>
  <c r="AH7" i="3" s="1"/>
  <c r="AB97" i="3"/>
  <c r="AP45" i="3"/>
  <c r="AP7" i="3" s="1"/>
  <c r="Q97" i="3"/>
  <c r="F30" i="3"/>
  <c r="AV8" i="3"/>
  <c r="F104" i="3"/>
  <c r="F104" i="12" s="1"/>
  <c r="X97" i="3"/>
  <c r="F94" i="3"/>
  <c r="F94" i="12" s="1"/>
  <c r="AR8" i="3"/>
  <c r="F110" i="3"/>
  <c r="F110" i="12" s="1"/>
  <c r="N110" i="12" s="1"/>
  <c r="AI122" i="3"/>
  <c r="X122" i="3"/>
  <c r="AA97" i="3"/>
  <c r="Y83" i="3"/>
  <c r="Y65" i="3" s="1"/>
  <c r="M106" i="12"/>
  <c r="M53" i="12"/>
  <c r="P66" i="3"/>
  <c r="F89" i="3"/>
  <c r="F89" i="12" s="1"/>
  <c r="N89" i="12" s="1"/>
  <c r="AW83" i="3"/>
  <c r="AW65" i="3" s="1"/>
  <c r="I83" i="3"/>
  <c r="I65" i="3" s="1"/>
  <c r="M105" i="12"/>
  <c r="AZ8" i="3"/>
  <c r="AM97" i="3"/>
  <c r="X66" i="3"/>
  <c r="X65" i="3" s="1"/>
  <c r="M60" i="12"/>
  <c r="AN66" i="3"/>
  <c r="G97" i="3"/>
  <c r="BA122" i="3"/>
  <c r="R8" i="3"/>
  <c r="R7" i="3" s="1"/>
  <c r="AK122" i="3"/>
  <c r="L97" i="3"/>
  <c r="L96" i="3" s="1"/>
  <c r="AH97" i="3"/>
  <c r="AI8" i="3"/>
  <c r="AI7" i="3" s="1"/>
  <c r="Z97" i="3"/>
  <c r="BB83" i="3"/>
  <c r="AL97" i="3"/>
  <c r="AC8" i="3"/>
  <c r="O97" i="3"/>
  <c r="G122" i="3"/>
  <c r="AZ83" i="3"/>
  <c r="AZ97" i="3"/>
  <c r="AZ65" i="3"/>
  <c r="BB8" i="3"/>
  <c r="N8" i="3"/>
  <c r="P97" i="3"/>
  <c r="BA83" i="3"/>
  <c r="AU8" i="3"/>
  <c r="R122" i="3"/>
  <c r="R96" i="3" s="1"/>
  <c r="AN83" i="3"/>
  <c r="I97" i="3"/>
  <c r="M101" i="12"/>
  <c r="M8" i="3"/>
  <c r="K97" i="3"/>
  <c r="K96" i="3" s="1"/>
  <c r="BB97" i="3"/>
  <c r="R66" i="3"/>
  <c r="R65" i="3" s="1"/>
  <c r="AA66" i="3"/>
  <c r="AN8" i="3"/>
  <c r="AN7" i="3" s="1"/>
  <c r="G83" i="3"/>
  <c r="G65" i="3" s="1"/>
  <c r="Q122" i="3"/>
  <c r="AS83" i="3"/>
  <c r="AW45" i="3"/>
  <c r="AW7" i="3" s="1"/>
  <c r="J97" i="3"/>
  <c r="J96" i="3" s="1"/>
  <c r="BA8" i="3"/>
  <c r="P96" i="6"/>
  <c r="J96" i="6"/>
  <c r="J6" i="6" s="1"/>
  <c r="J2" i="6" s="1"/>
  <c r="F24" i="6"/>
  <c r="L24" i="12" s="1"/>
  <c r="F84" i="6"/>
  <c r="L84" i="12" s="1"/>
  <c r="M28" i="12"/>
  <c r="P65" i="6"/>
  <c r="O122" i="6"/>
  <c r="F9" i="6"/>
  <c r="L9" i="12" s="1"/>
  <c r="M71" i="12"/>
  <c r="M70" i="12"/>
  <c r="F91" i="6"/>
  <c r="L91" i="12" s="1"/>
  <c r="H66" i="6"/>
  <c r="M49" i="12"/>
  <c r="F13" i="6"/>
  <c r="F67" i="6"/>
  <c r="L67" i="12" s="1"/>
  <c r="G45" i="6"/>
  <c r="M52" i="12"/>
  <c r="F76" i="6"/>
  <c r="L76" i="12" s="1"/>
  <c r="G83" i="5"/>
  <c r="L66" i="5"/>
  <c r="L65" i="5" s="1"/>
  <c r="F11" i="5"/>
  <c r="J11" i="12" s="1"/>
  <c r="F130" i="5"/>
  <c r="J130" i="12" s="1"/>
  <c r="K66" i="5"/>
  <c r="K65" i="5" s="1"/>
  <c r="J66" i="5"/>
  <c r="J65" i="5" s="1"/>
  <c r="F13" i="5"/>
  <c r="J13" i="12" s="1"/>
  <c r="I66" i="5"/>
  <c r="I65" i="5" s="1"/>
  <c r="H66" i="5"/>
  <c r="O96" i="5"/>
  <c r="N96" i="5"/>
  <c r="H96" i="5"/>
  <c r="M17" i="12"/>
  <c r="G8" i="5"/>
  <c r="M14" i="12"/>
  <c r="F18" i="5"/>
  <c r="M62" i="12"/>
  <c r="F46" i="5"/>
  <c r="J46" i="12" s="1"/>
  <c r="M12" i="12"/>
  <c r="M128" i="12"/>
  <c r="M86" i="12"/>
  <c r="M88" i="12"/>
  <c r="Q96" i="4"/>
  <c r="M79" i="12"/>
  <c r="M107" i="12"/>
  <c r="M78" i="12"/>
  <c r="H97" i="4"/>
  <c r="H96" i="4" s="1"/>
  <c r="F36" i="4"/>
  <c r="H36" i="12" s="1"/>
  <c r="M20" i="12"/>
  <c r="L66" i="4"/>
  <c r="L65" i="4" s="1"/>
  <c r="F91" i="4"/>
  <c r="H91" i="12" s="1"/>
  <c r="M69" i="12"/>
  <c r="F9" i="4"/>
  <c r="K66" i="4"/>
  <c r="J66" i="4"/>
  <c r="J65" i="4" s="1"/>
  <c r="I66" i="4"/>
  <c r="H66" i="4"/>
  <c r="H65" i="4" s="1"/>
  <c r="F46" i="4"/>
  <c r="H46" i="12" s="1"/>
  <c r="M87" i="12"/>
  <c r="F123" i="4"/>
  <c r="H123" i="12" s="1"/>
  <c r="H7" i="4"/>
  <c r="M11" i="12"/>
  <c r="M81" i="12"/>
  <c r="AM66" i="3"/>
  <c r="M96" i="3"/>
  <c r="AL66" i="3"/>
  <c r="AL65" i="3" s="1"/>
  <c r="AK66" i="3"/>
  <c r="AK65" i="3" s="1"/>
  <c r="AF122" i="3"/>
  <c r="F18" i="3"/>
  <c r="F18" i="12" s="1"/>
  <c r="AJ66" i="3"/>
  <c r="AE122" i="3"/>
  <c r="AP83" i="3"/>
  <c r="AC122" i="3"/>
  <c r="F5" i="3"/>
  <c r="F3" i="12" s="1"/>
  <c r="AH66" i="3"/>
  <c r="AH65" i="3" s="1"/>
  <c r="AA122" i="3"/>
  <c r="Z122" i="3"/>
  <c r="F21" i="3"/>
  <c r="N90" i="12"/>
  <c r="AE66" i="3"/>
  <c r="AE45" i="3"/>
  <c r="AE7" i="3" s="1"/>
  <c r="AC66" i="3"/>
  <c r="AA83" i="3"/>
  <c r="AR45" i="3"/>
  <c r="AG45" i="3"/>
  <c r="AF66" i="3"/>
  <c r="AF65" i="3" s="1"/>
  <c r="Q66" i="3"/>
  <c r="AF45" i="3"/>
  <c r="AB83" i="3"/>
  <c r="Y122" i="3"/>
  <c r="Y96" i="3" s="1"/>
  <c r="AS45" i="3"/>
  <c r="AS7" i="3" s="1"/>
  <c r="O66" i="3"/>
  <c r="AC45" i="3"/>
  <c r="AB66" i="3"/>
  <c r="Z83" i="3"/>
  <c r="BB122" i="3"/>
  <c r="AB45" i="3"/>
  <c r="M66" i="3"/>
  <c r="M65" i="3" s="1"/>
  <c r="AA45" i="3"/>
  <c r="AZ122" i="3"/>
  <c r="AS122" i="3"/>
  <c r="AS96" i="3" s="1"/>
  <c r="N66" i="3"/>
  <c r="N65" i="3" s="1"/>
  <c r="Z45" i="3"/>
  <c r="AT122" i="3"/>
  <c r="AR66" i="3"/>
  <c r="AR122" i="3"/>
  <c r="AR96" i="3" s="1"/>
  <c r="AV83" i="3"/>
  <c r="AV65" i="3" s="1"/>
  <c r="BB66" i="3"/>
  <c r="AM122" i="3"/>
  <c r="AP66" i="3"/>
  <c r="AP122" i="3"/>
  <c r="AD45" i="3"/>
  <c r="AY45" i="3"/>
  <c r="AY7" i="3" s="1"/>
  <c r="AY97" i="3"/>
  <c r="Y45" i="3"/>
  <c r="Y7" i="3" s="1"/>
  <c r="AN122" i="3"/>
  <c r="AQ122" i="3"/>
  <c r="AU83" i="3"/>
  <c r="AU65" i="3" s="1"/>
  <c r="BA66" i="3"/>
  <c r="AL122" i="3"/>
  <c r="AL96" i="3" s="1"/>
  <c r="AD66" i="3"/>
  <c r="AX45" i="3"/>
  <c r="AX7" i="3" s="1"/>
  <c r="AX97" i="3"/>
  <c r="AH122" i="3"/>
  <c r="AG122" i="3"/>
  <c r="AB122" i="3"/>
  <c r="AG66" i="3"/>
  <c r="AG65" i="3" s="1"/>
  <c r="BA45" i="3"/>
  <c r="AW97" i="3"/>
  <c r="AZ45" i="3"/>
  <c r="AT66" i="3"/>
  <c r="AM83" i="3"/>
  <c r="AJ122" i="3"/>
  <c r="AJ96" i="3" s="1"/>
  <c r="AD83" i="3"/>
  <c r="AV45" i="3"/>
  <c r="AV97" i="3"/>
  <c r="F120" i="3"/>
  <c r="N109" i="12"/>
  <c r="N62" i="12"/>
  <c r="L23" i="12"/>
  <c r="L35" i="12"/>
  <c r="J35" i="12"/>
  <c r="H35" i="12"/>
  <c r="N35" i="12" s="1"/>
  <c r="H128" i="12"/>
  <c r="H9" i="3"/>
  <c r="H8" i="3" s="1"/>
  <c r="H7" i="3" s="1"/>
  <c r="F128" i="12"/>
  <c r="F23" i="12"/>
  <c r="F93" i="12"/>
  <c r="N93" i="12" s="1"/>
  <c r="J23" i="12"/>
  <c r="L15" i="12"/>
  <c r="L16" i="12"/>
  <c r="L17" i="12"/>
  <c r="L19" i="12"/>
  <c r="L28" i="12"/>
  <c r="L29" i="12"/>
  <c r="L31" i="12"/>
  <c r="L32" i="12"/>
  <c r="L33" i="12"/>
  <c r="L39" i="12"/>
  <c r="L41" i="12"/>
  <c r="L49" i="12"/>
  <c r="L50" i="12"/>
  <c r="L51" i="12"/>
  <c r="L52" i="12"/>
  <c r="L53" i="12"/>
  <c r="L54" i="12"/>
  <c r="L55" i="12"/>
  <c r="L63" i="12"/>
  <c r="L64" i="12"/>
  <c r="L69" i="12"/>
  <c r="L70" i="12"/>
  <c r="L71" i="12"/>
  <c r="L72" i="12"/>
  <c r="L73" i="12"/>
  <c r="L74" i="12"/>
  <c r="L75" i="12"/>
  <c r="L78" i="12"/>
  <c r="L79" i="12"/>
  <c r="L80" i="12"/>
  <c r="L81" i="12"/>
  <c r="L82" i="12"/>
  <c r="L86" i="12"/>
  <c r="L87" i="12"/>
  <c r="L88" i="12"/>
  <c r="L113" i="12"/>
  <c r="L114" i="12"/>
  <c r="L117" i="12"/>
  <c r="L118" i="12"/>
  <c r="L119" i="12"/>
  <c r="L120" i="12"/>
  <c r="L125" i="12"/>
  <c r="L126" i="12"/>
  <c r="L127" i="12"/>
  <c r="L132" i="12"/>
  <c r="L133" i="12"/>
  <c r="L134" i="12"/>
  <c r="L137" i="12"/>
  <c r="L138" i="12"/>
  <c r="L139" i="12"/>
  <c r="L48" i="12"/>
  <c r="L94" i="12"/>
  <c r="L121" i="12"/>
  <c r="L95" i="12"/>
  <c r="L100" i="12"/>
  <c r="L108" i="12"/>
  <c r="L107" i="12"/>
  <c r="L106" i="12"/>
  <c r="L105" i="12"/>
  <c r="L104" i="12"/>
  <c r="L103" i="12"/>
  <c r="L102" i="12"/>
  <c r="L101" i="12"/>
  <c r="L61" i="12"/>
  <c r="L60" i="12"/>
  <c r="L58" i="12"/>
  <c r="J14" i="12"/>
  <c r="J15" i="12"/>
  <c r="J16" i="12"/>
  <c r="J17" i="12"/>
  <c r="J28" i="12"/>
  <c r="J29" i="12"/>
  <c r="J32" i="12"/>
  <c r="J33" i="12"/>
  <c r="J39" i="12"/>
  <c r="J41" i="12"/>
  <c r="J48" i="12"/>
  <c r="J49" i="12"/>
  <c r="J50" i="12"/>
  <c r="J51" i="12"/>
  <c r="J52" i="12"/>
  <c r="J53" i="12"/>
  <c r="J54" i="12"/>
  <c r="J55" i="12"/>
  <c r="J69" i="12"/>
  <c r="J70" i="12"/>
  <c r="J71" i="12"/>
  <c r="J72" i="12"/>
  <c r="J73" i="12"/>
  <c r="J74" i="12"/>
  <c r="J75" i="12"/>
  <c r="J78" i="12"/>
  <c r="J79" i="12"/>
  <c r="J80" i="12"/>
  <c r="J81" i="12"/>
  <c r="J82" i="12"/>
  <c r="J86" i="12"/>
  <c r="J87" i="12"/>
  <c r="J88" i="12"/>
  <c r="J100" i="12"/>
  <c r="J101" i="12"/>
  <c r="J102" i="12"/>
  <c r="J103" i="12"/>
  <c r="J104" i="12"/>
  <c r="J105" i="12"/>
  <c r="J106" i="12"/>
  <c r="J107" i="12"/>
  <c r="J113" i="12"/>
  <c r="J114" i="12"/>
  <c r="J117" i="12"/>
  <c r="J118" i="12"/>
  <c r="J119" i="12"/>
  <c r="J120" i="12"/>
  <c r="J125" i="12"/>
  <c r="J126" i="12"/>
  <c r="J132" i="12"/>
  <c r="J133" i="12"/>
  <c r="J134" i="12"/>
  <c r="J137" i="12"/>
  <c r="J138" i="12"/>
  <c r="J139" i="12"/>
  <c r="J34" i="12"/>
  <c r="J94" i="12"/>
  <c r="J121" i="12"/>
  <c r="J58" i="12"/>
  <c r="H15" i="12"/>
  <c r="H16" i="12"/>
  <c r="H17" i="12"/>
  <c r="H18" i="12"/>
  <c r="H19" i="12"/>
  <c r="H26" i="12"/>
  <c r="H28" i="12"/>
  <c r="H29" i="12"/>
  <c r="H33" i="12"/>
  <c r="H48" i="12"/>
  <c r="H55" i="12"/>
  <c r="H64" i="12"/>
  <c r="H70" i="12"/>
  <c r="H72" i="12"/>
  <c r="H73" i="12"/>
  <c r="H74" i="12"/>
  <c r="H75" i="12"/>
  <c r="H78" i="12"/>
  <c r="H79" i="12"/>
  <c r="H81" i="12"/>
  <c r="H82" i="12"/>
  <c r="H86" i="12"/>
  <c r="H87" i="12"/>
  <c r="H100" i="12"/>
  <c r="H101" i="12"/>
  <c r="H102" i="12"/>
  <c r="H103" i="12"/>
  <c r="H104" i="12"/>
  <c r="H105" i="12"/>
  <c r="H106" i="12"/>
  <c r="H107" i="12"/>
  <c r="H113" i="12"/>
  <c r="H120" i="12"/>
  <c r="H127" i="12"/>
  <c r="H121" i="12"/>
  <c r="H61" i="12"/>
  <c r="H58" i="12"/>
  <c r="L44" i="12"/>
  <c r="J44" i="12"/>
  <c r="L43" i="12"/>
  <c r="J43" i="12"/>
  <c r="L42" i="12"/>
  <c r="J42" i="12"/>
  <c r="L40" i="12"/>
  <c r="J40" i="12"/>
  <c r="L38" i="12"/>
  <c r="J31" i="12"/>
  <c r="L30" i="12"/>
  <c r="L27" i="12"/>
  <c r="J27" i="12"/>
  <c r="L26" i="12"/>
  <c r="J26" i="12"/>
  <c r="L21" i="12"/>
  <c r="L20" i="12"/>
  <c r="J21" i="12"/>
  <c r="J20" i="12"/>
  <c r="J19" i="12"/>
  <c r="L14" i="12"/>
  <c r="L12" i="12"/>
  <c r="J12" i="12"/>
  <c r="H119" i="12"/>
  <c r="H12" i="12"/>
  <c r="H137" i="12"/>
  <c r="H94" i="12"/>
  <c r="H88" i="12"/>
  <c r="H80" i="12"/>
  <c r="H71" i="12"/>
  <c r="H54" i="12"/>
  <c r="H51" i="12"/>
  <c r="H50" i="12"/>
  <c r="H44" i="12"/>
  <c r="H42" i="12"/>
  <c r="H39" i="12"/>
  <c r="H31" i="12"/>
  <c r="H30" i="12"/>
  <c r="H14" i="12"/>
  <c r="H13" i="12"/>
  <c r="F129" i="12"/>
  <c r="F121" i="12"/>
  <c r="F119" i="12"/>
  <c r="F118" i="12"/>
  <c r="F117" i="12"/>
  <c r="F113" i="12"/>
  <c r="F105" i="12"/>
  <c r="F103" i="12"/>
  <c r="F102" i="12"/>
  <c r="F101" i="12"/>
  <c r="F100" i="12"/>
  <c r="F95" i="12"/>
  <c r="F88" i="12"/>
  <c r="F87" i="12"/>
  <c r="F86" i="12"/>
  <c r="F82" i="12"/>
  <c r="F81" i="12"/>
  <c r="F80" i="12"/>
  <c r="F79" i="12"/>
  <c r="F75" i="12"/>
  <c r="F73" i="12"/>
  <c r="F72" i="12"/>
  <c r="F71" i="12"/>
  <c r="F70" i="12"/>
  <c r="F64" i="12"/>
  <c r="F63" i="12"/>
  <c r="F61" i="12"/>
  <c r="F55" i="12"/>
  <c r="F54" i="12"/>
  <c r="F53" i="12"/>
  <c r="F52" i="12"/>
  <c r="F51" i="12"/>
  <c r="F50" i="12"/>
  <c r="F49" i="12"/>
  <c r="F48" i="12"/>
  <c r="F44" i="12"/>
  <c r="F42" i="12"/>
  <c r="F41" i="12"/>
  <c r="F40" i="12"/>
  <c r="F39" i="12"/>
  <c r="F38" i="12"/>
  <c r="F34" i="12"/>
  <c r="F33" i="12"/>
  <c r="F32" i="12"/>
  <c r="F31" i="12"/>
  <c r="F30" i="12"/>
  <c r="F29" i="12"/>
  <c r="F28" i="12"/>
  <c r="F26" i="12"/>
  <c r="F22" i="12"/>
  <c r="N22" i="12" s="1"/>
  <c r="F20" i="12"/>
  <c r="F19" i="12"/>
  <c r="F16" i="12"/>
  <c r="F15" i="12"/>
  <c r="F14" i="12"/>
  <c r="F13" i="12"/>
  <c r="F12" i="12"/>
  <c r="F17" i="12"/>
  <c r="F58" i="12"/>
  <c r="F43" i="12"/>
  <c r="F114" i="12"/>
  <c r="F138" i="12"/>
  <c r="F137" i="12"/>
  <c r="F139" i="12"/>
  <c r="F125" i="12"/>
  <c r="F127" i="12"/>
  <c r="F126" i="12"/>
  <c r="J108" i="12"/>
  <c r="F108" i="12"/>
  <c r="H108" i="12"/>
  <c r="F59" i="12"/>
  <c r="N59" i="12" s="1"/>
  <c r="F134" i="12"/>
  <c r="F133" i="12"/>
  <c r="F132" i="12"/>
  <c r="F11" i="12"/>
  <c r="F74" i="12"/>
  <c r="F69" i="12"/>
  <c r="F106" i="12"/>
  <c r="H139" i="12"/>
  <c r="H135" i="12"/>
  <c r="H138" i="12"/>
  <c r="H134" i="12"/>
  <c r="H133" i="12"/>
  <c r="H132" i="12"/>
  <c r="H129" i="12"/>
  <c r="H125" i="12"/>
  <c r="H118" i="12"/>
  <c r="H117" i="12"/>
  <c r="H114" i="12"/>
  <c r="H69" i="12"/>
  <c r="H63" i="12"/>
  <c r="H60" i="12"/>
  <c r="H53" i="12"/>
  <c r="H52" i="12"/>
  <c r="H43" i="12"/>
  <c r="H41" i="12"/>
  <c r="H40" i="12"/>
  <c r="H38" i="12"/>
  <c r="H34" i="12"/>
  <c r="H32" i="12"/>
  <c r="H27" i="12"/>
  <c r="H21" i="12"/>
  <c r="H9" i="12"/>
  <c r="H20" i="12"/>
  <c r="W122" i="3"/>
  <c r="V122" i="3"/>
  <c r="U122" i="3"/>
  <c r="T122" i="3"/>
  <c r="S122" i="3"/>
  <c r="W97" i="3"/>
  <c r="V97" i="3"/>
  <c r="U97" i="3"/>
  <c r="T97" i="3"/>
  <c r="S97" i="3"/>
  <c r="W83" i="3"/>
  <c r="V83" i="3"/>
  <c r="U83" i="3"/>
  <c r="T83" i="3"/>
  <c r="S83" i="3"/>
  <c r="W66" i="3"/>
  <c r="V66" i="3"/>
  <c r="U66" i="3"/>
  <c r="T66" i="3"/>
  <c r="S66" i="3"/>
  <c r="W45" i="3"/>
  <c r="V45" i="3"/>
  <c r="U45" i="3"/>
  <c r="T45" i="3"/>
  <c r="S45" i="3"/>
  <c r="W8" i="3"/>
  <c r="V8" i="3"/>
  <c r="U8" i="3"/>
  <c r="T8" i="3"/>
  <c r="S8" i="3"/>
  <c r="AY122" i="3"/>
  <c r="AX122" i="3"/>
  <c r="AW122" i="3"/>
  <c r="AV122" i="3"/>
  <c r="AU122" i="3"/>
  <c r="AU96" i="3" s="1"/>
  <c r="AD122" i="3"/>
  <c r="AD96" i="3" s="1"/>
  <c r="F24" i="3"/>
  <c r="F24" i="12" s="1"/>
  <c r="F36" i="3"/>
  <c r="F36" i="12" s="1"/>
  <c r="F76" i="3"/>
  <c r="F76" i="12" s="1"/>
  <c r="F135" i="3"/>
  <c r="F135" i="12" s="1"/>
  <c r="F84" i="3"/>
  <c r="F84" i="12" s="1"/>
  <c r="F46" i="3"/>
  <c r="F46" i="12" s="1"/>
  <c r="F123" i="3"/>
  <c r="F123" i="12" s="1"/>
  <c r="F130" i="3"/>
  <c r="F130" i="12" s="1"/>
  <c r="F111" i="3"/>
  <c r="F91" i="3"/>
  <c r="F91" i="12" s="1"/>
  <c r="F56" i="3"/>
  <c r="F56" i="12" s="1"/>
  <c r="H66" i="3"/>
  <c r="AT8" i="3"/>
  <c r="AO122" i="3"/>
  <c r="AO97" i="3"/>
  <c r="AO83" i="3"/>
  <c r="AO66" i="3"/>
  <c r="AO45" i="3"/>
  <c r="AO8" i="3"/>
  <c r="H96" i="6" l="1"/>
  <c r="G7" i="6"/>
  <c r="M7" i="6"/>
  <c r="M6" i="6" s="1"/>
  <c r="M2" i="6" s="1"/>
  <c r="F98" i="6"/>
  <c r="H65" i="6"/>
  <c r="N7" i="6"/>
  <c r="F7" i="6" s="1"/>
  <c r="O96" i="6"/>
  <c r="O6" i="6" s="1"/>
  <c r="O2" i="6" s="1"/>
  <c r="F98" i="5"/>
  <c r="J98" i="12" s="1"/>
  <c r="J6" i="5"/>
  <c r="J2" i="5" s="1"/>
  <c r="F45" i="5"/>
  <c r="J45" i="12" s="1"/>
  <c r="I96" i="5"/>
  <c r="G96" i="5"/>
  <c r="P65" i="5"/>
  <c r="K96" i="5"/>
  <c r="O7" i="5"/>
  <c r="Q96" i="5"/>
  <c r="Q6" i="5" s="1"/>
  <c r="Q2" i="5" s="1"/>
  <c r="H7" i="5"/>
  <c r="H6" i="5" s="1"/>
  <c r="H2" i="5" s="1"/>
  <c r="G7" i="5"/>
  <c r="F45" i="4"/>
  <c r="H45" i="12" s="1"/>
  <c r="F115" i="12"/>
  <c r="AQ96" i="3"/>
  <c r="AB7" i="3"/>
  <c r="BB96" i="3"/>
  <c r="AQ7" i="3"/>
  <c r="AT65" i="3"/>
  <c r="BA96" i="3"/>
  <c r="AT7" i="3"/>
  <c r="AY96" i="3"/>
  <c r="AY6" i="3" s="1"/>
  <c r="AY2" i="3" s="1"/>
  <c r="S7" i="3"/>
  <c r="S96" i="3"/>
  <c r="BB7" i="3"/>
  <c r="Q7" i="3"/>
  <c r="Q6" i="3" s="1"/>
  <c r="Q2" i="3" s="1"/>
  <c r="T7" i="3"/>
  <c r="T96" i="3"/>
  <c r="Q65" i="3"/>
  <c r="Z7" i="3"/>
  <c r="N96" i="3"/>
  <c r="V7" i="3"/>
  <c r="AR65" i="3"/>
  <c r="V96" i="3"/>
  <c r="AA65" i="3"/>
  <c r="F98" i="3"/>
  <c r="AA7" i="3"/>
  <c r="X7" i="3"/>
  <c r="M65" i="6"/>
  <c r="F65" i="6" s="1"/>
  <c r="L65" i="12" s="1"/>
  <c r="L111" i="12"/>
  <c r="K6" i="6"/>
  <c r="K2" i="6" s="1"/>
  <c r="N65" i="6"/>
  <c r="N6" i="6" s="1"/>
  <c r="N2" i="6" s="1"/>
  <c r="Q96" i="6"/>
  <c r="Q6" i="6" s="1"/>
  <c r="Q2" i="6" s="1"/>
  <c r="G6" i="6"/>
  <c r="G2" i="6" s="1"/>
  <c r="H6" i="6"/>
  <c r="H2" i="6" s="1"/>
  <c r="F83" i="6"/>
  <c r="L83" i="12" s="1"/>
  <c r="L6" i="6"/>
  <c r="L2" i="6" s="1"/>
  <c r="F122" i="6"/>
  <c r="L122" i="12" s="1"/>
  <c r="N60" i="12"/>
  <c r="I6" i="6"/>
  <c r="I2" i="6" s="1"/>
  <c r="N6" i="5"/>
  <c r="N2" i="5" s="1"/>
  <c r="N84" i="12"/>
  <c r="K6" i="5"/>
  <c r="K2" i="5" s="1"/>
  <c r="P7" i="5"/>
  <c r="P6" i="5" s="1"/>
  <c r="P2" i="5" s="1"/>
  <c r="F122" i="5"/>
  <c r="J122" i="12" s="1"/>
  <c r="O6" i="5"/>
  <c r="O2" i="5" s="1"/>
  <c r="H65" i="5"/>
  <c r="I6" i="5"/>
  <c r="I2" i="5" s="1"/>
  <c r="N56" i="12"/>
  <c r="G65" i="5"/>
  <c r="G6" i="5" s="1"/>
  <c r="G2" i="5" s="1"/>
  <c r="L6" i="5"/>
  <c r="L2" i="5" s="1"/>
  <c r="N78" i="12"/>
  <c r="J7" i="4"/>
  <c r="L7" i="4"/>
  <c r="L6" i="4" s="1"/>
  <c r="L2" i="4" s="1"/>
  <c r="H111" i="12"/>
  <c r="P7" i="4"/>
  <c r="P6" i="4" s="1"/>
  <c r="P2" i="4" s="1"/>
  <c r="I65" i="4"/>
  <c r="F65" i="4" s="1"/>
  <c r="H65" i="12" s="1"/>
  <c r="M7" i="4"/>
  <c r="M6" i="4" s="1"/>
  <c r="M2" i="4" s="1"/>
  <c r="I7" i="4"/>
  <c r="I6" i="4" s="1"/>
  <c r="I2" i="4" s="1"/>
  <c r="O96" i="4"/>
  <c r="O6" i="4" s="1"/>
  <c r="O2" i="4" s="1"/>
  <c r="N76" i="12"/>
  <c r="G6" i="4"/>
  <c r="G2" i="4" s="1"/>
  <c r="N6" i="4"/>
  <c r="N2" i="4" s="1"/>
  <c r="F83" i="4"/>
  <c r="H83" i="12" s="1"/>
  <c r="N46" i="12"/>
  <c r="H115" i="12"/>
  <c r="N115" i="12" s="1"/>
  <c r="K65" i="4"/>
  <c r="K6" i="4" s="1"/>
  <c r="K2" i="4" s="1"/>
  <c r="N36" i="12"/>
  <c r="F122" i="4"/>
  <c r="H122" i="12" s="1"/>
  <c r="P96" i="4"/>
  <c r="K6" i="3"/>
  <c r="K2" i="3" s="1"/>
  <c r="AI65" i="3"/>
  <c r="AV96" i="3"/>
  <c r="AE65" i="3"/>
  <c r="G96" i="3"/>
  <c r="AS65" i="3"/>
  <c r="AS6" i="3" s="1"/>
  <c r="AS2" i="3" s="1"/>
  <c r="AV7" i="3"/>
  <c r="AV6" i="3" s="1"/>
  <c r="AV2" i="3" s="1"/>
  <c r="BB65" i="3"/>
  <c r="AM7" i="3"/>
  <c r="AN96" i="3"/>
  <c r="AF7" i="3"/>
  <c r="AQ65" i="3"/>
  <c r="AG96" i="3"/>
  <c r="AG6" i="3" s="1"/>
  <c r="AG2" i="3" s="1"/>
  <c r="AE96" i="3"/>
  <c r="AB96" i="3"/>
  <c r="AJ65" i="3"/>
  <c r="AJ6" i="3" s="1"/>
  <c r="AJ2" i="3" s="1"/>
  <c r="AT96" i="3"/>
  <c r="AT6" i="3" s="1"/>
  <c r="AT2" i="3" s="1"/>
  <c r="AR7" i="3"/>
  <c r="AR6" i="3" s="1"/>
  <c r="AR2" i="3" s="1"/>
  <c r="AF96" i="3"/>
  <c r="AK96" i="3"/>
  <c r="AK6" i="3" s="1"/>
  <c r="AK2" i="3" s="1"/>
  <c r="AD65" i="3"/>
  <c r="R6" i="3"/>
  <c r="R2" i="3" s="1"/>
  <c r="U7" i="3"/>
  <c r="U96" i="3"/>
  <c r="I96" i="3"/>
  <c r="I6" i="3" s="1"/>
  <c r="I2" i="3" s="1"/>
  <c r="AI6" i="3"/>
  <c r="AI2" i="3" s="1"/>
  <c r="J6" i="3"/>
  <c r="J2" i="3" s="1"/>
  <c r="AZ7" i="3"/>
  <c r="AD7" i="3"/>
  <c r="AD6" i="3" s="1"/>
  <c r="AD2" i="3" s="1"/>
  <c r="Z65" i="3"/>
  <c r="AU7" i="3"/>
  <c r="AU6" i="3" s="1"/>
  <c r="AU2" i="3" s="1"/>
  <c r="AH96" i="3"/>
  <c r="AH6" i="3" s="1"/>
  <c r="AH2" i="3" s="1"/>
  <c r="BA7" i="3"/>
  <c r="AP96" i="3"/>
  <c r="AB65" i="3"/>
  <c r="AO65" i="3"/>
  <c r="AC7" i="3"/>
  <c r="P96" i="3"/>
  <c r="P6" i="3" s="1"/>
  <c r="P2" i="3" s="1"/>
  <c r="L6" i="3"/>
  <c r="L2" i="3" s="1"/>
  <c r="AM96" i="3"/>
  <c r="O65" i="3"/>
  <c r="N7" i="3"/>
  <c r="N6" i="3" s="1"/>
  <c r="N2" i="3" s="1"/>
  <c r="AC65" i="3"/>
  <c r="F67" i="3"/>
  <c r="S65" i="3"/>
  <c r="S6" i="3" s="1"/>
  <c r="S2" i="3" s="1"/>
  <c r="BB6" i="3"/>
  <c r="BB2" i="3" s="1"/>
  <c r="Z96" i="3"/>
  <c r="AM65" i="3"/>
  <c r="AA96" i="3"/>
  <c r="AQ6" i="3"/>
  <c r="AQ2" i="3" s="1"/>
  <c r="AO96" i="3"/>
  <c r="F9" i="3"/>
  <c r="F9" i="12" s="1"/>
  <c r="N9" i="12" s="1"/>
  <c r="AN65" i="3"/>
  <c r="W96" i="3"/>
  <c r="O96" i="3"/>
  <c r="Q96" i="3"/>
  <c r="AL6" i="3"/>
  <c r="AL2" i="3" s="1"/>
  <c r="X96" i="3"/>
  <c r="X6" i="3" s="1"/>
  <c r="X2" i="3" s="1"/>
  <c r="W7" i="3"/>
  <c r="BA65" i="3"/>
  <c r="AC96" i="3"/>
  <c r="N32" i="12"/>
  <c r="AZ96" i="3"/>
  <c r="M7" i="3"/>
  <c r="M6" i="3" s="1"/>
  <c r="M2" i="3" s="1"/>
  <c r="N20" i="12"/>
  <c r="L13" i="12"/>
  <c r="N13" i="12" s="1"/>
  <c r="N24" i="12"/>
  <c r="F45" i="6"/>
  <c r="L45" i="12" s="1"/>
  <c r="N114" i="12"/>
  <c r="N91" i="12"/>
  <c r="N38" i="12"/>
  <c r="N134" i="12"/>
  <c r="N117" i="12"/>
  <c r="N69" i="12"/>
  <c r="N133" i="12"/>
  <c r="N138" i="12"/>
  <c r="N27" i="12"/>
  <c r="J18" i="12"/>
  <c r="N18" i="12" s="1"/>
  <c r="F83" i="5"/>
  <c r="J83" i="12" s="1"/>
  <c r="N43" i="12"/>
  <c r="N52" i="12"/>
  <c r="J6" i="4"/>
  <c r="J2" i="4" s="1"/>
  <c r="H6" i="4"/>
  <c r="H2" i="4" s="1"/>
  <c r="N70" i="12"/>
  <c r="Q6" i="4"/>
  <c r="Q2" i="4" s="1"/>
  <c r="N71" i="12"/>
  <c r="N129" i="12"/>
  <c r="AW96" i="3"/>
  <c r="AW6" i="3" s="1"/>
  <c r="AW2" i="3" s="1"/>
  <c r="O6" i="3"/>
  <c r="O2" i="3" s="1"/>
  <c r="AX96" i="3"/>
  <c r="AX6" i="3" s="1"/>
  <c r="AX2" i="3" s="1"/>
  <c r="N63" i="12"/>
  <c r="N132" i="12"/>
  <c r="AP65" i="3"/>
  <c r="N41" i="12"/>
  <c r="N118" i="12"/>
  <c r="N139" i="12"/>
  <c r="Y6" i="3"/>
  <c r="Y2" i="3" s="1"/>
  <c r="T65" i="3"/>
  <c r="N108" i="12"/>
  <c r="F21" i="12"/>
  <c r="N21" i="12" s="1"/>
  <c r="U65" i="3"/>
  <c r="N125" i="12"/>
  <c r="F120" i="12"/>
  <c r="N120" i="12" s="1"/>
  <c r="W65" i="3"/>
  <c r="G6" i="3"/>
  <c r="G2" i="3" s="1"/>
  <c r="V65" i="3"/>
  <c r="N123" i="12"/>
  <c r="N130" i="12"/>
  <c r="N135" i="12"/>
  <c r="N14" i="12"/>
  <c r="N30" i="12"/>
  <c r="N31" i="12"/>
  <c r="N39" i="12"/>
  <c r="N42" i="12"/>
  <c r="N50" i="12"/>
  <c r="N51" i="12"/>
  <c r="N54" i="12"/>
  <c r="N88" i="12"/>
  <c r="N94" i="12"/>
  <c r="N137" i="12"/>
  <c r="N12" i="12"/>
  <c r="N119" i="12"/>
  <c r="N58" i="12"/>
  <c r="N61" i="12"/>
  <c r="N121" i="12"/>
  <c r="N113" i="12"/>
  <c r="N107" i="12"/>
  <c r="N106" i="12"/>
  <c r="N105" i="12"/>
  <c r="N104" i="12"/>
  <c r="N103" i="12"/>
  <c r="N102" i="12"/>
  <c r="N101" i="12"/>
  <c r="N100" i="12"/>
  <c r="N87" i="12"/>
  <c r="N86" i="12"/>
  <c r="N82" i="12"/>
  <c r="N79" i="12"/>
  <c r="N75" i="12"/>
  <c r="N73" i="12"/>
  <c r="N72" i="12"/>
  <c r="N64" i="12"/>
  <c r="N55" i="12"/>
  <c r="N48" i="12"/>
  <c r="N29" i="12"/>
  <c r="N28" i="12"/>
  <c r="N19" i="12"/>
  <c r="N17" i="12"/>
  <c r="N16" i="12"/>
  <c r="N15" i="12"/>
  <c r="N11" i="12"/>
  <c r="N49" i="12"/>
  <c r="N95" i="12"/>
  <c r="N126" i="12"/>
  <c r="N128" i="12"/>
  <c r="N23" i="12"/>
  <c r="N26" i="12"/>
  <c r="N40" i="12"/>
  <c r="N44" i="12"/>
  <c r="N81" i="12"/>
  <c r="N80" i="12"/>
  <c r="N74" i="12"/>
  <c r="N53" i="12"/>
  <c r="N33" i="12"/>
  <c r="F111" i="12"/>
  <c r="F66" i="3"/>
  <c r="F66" i="12" s="1"/>
  <c r="F45" i="3"/>
  <c r="F83" i="3"/>
  <c r="F122" i="3"/>
  <c r="F97" i="3"/>
  <c r="F97" i="12" s="1"/>
  <c r="F8" i="6"/>
  <c r="L8" i="12" s="1"/>
  <c r="F66" i="6"/>
  <c r="L66" i="12" s="1"/>
  <c r="F97" i="6"/>
  <c r="F8" i="5"/>
  <c r="J8" i="12" s="1"/>
  <c r="F66" i="5"/>
  <c r="J66" i="12" s="1"/>
  <c r="F97" i="5"/>
  <c r="J97" i="12" s="1"/>
  <c r="F8" i="4"/>
  <c r="H8" i="12" s="1"/>
  <c r="F66" i="4"/>
  <c r="H66" i="12" s="1"/>
  <c r="F97" i="4"/>
  <c r="H97" i="12" s="1"/>
  <c r="F8" i="3"/>
  <c r="F8" i="12" s="1"/>
  <c r="AO7" i="3"/>
  <c r="H96" i="3"/>
  <c r="H65" i="3"/>
  <c r="L98" i="12" l="1"/>
  <c r="F96" i="6"/>
  <c r="F96" i="5"/>
  <c r="J96" i="12" s="1"/>
  <c r="N111" i="12"/>
  <c r="V6" i="3"/>
  <c r="V2" i="3" s="1"/>
  <c r="U6" i="3"/>
  <c r="U2" i="3" s="1"/>
  <c r="T6" i="3"/>
  <c r="T2" i="3" s="1"/>
  <c r="AE6" i="3"/>
  <c r="AE2" i="3" s="1"/>
  <c r="AA6" i="3"/>
  <c r="AA2" i="3" s="1"/>
  <c r="F98" i="12"/>
  <c r="N98" i="12" s="1"/>
  <c r="AZ6" i="3"/>
  <c r="AZ2" i="3" s="1"/>
  <c r="AM6" i="3"/>
  <c r="AM2" i="3" s="1"/>
  <c r="AF6" i="3"/>
  <c r="AF2" i="3" s="1"/>
  <c r="F65" i="5"/>
  <c r="J65" i="12" s="1"/>
  <c r="F96" i="4"/>
  <c r="H96" i="12" s="1"/>
  <c r="AB6" i="3"/>
  <c r="AB2" i="3" s="1"/>
  <c r="Z6" i="3"/>
  <c r="Z2" i="3" s="1"/>
  <c r="AN6" i="3"/>
  <c r="AN2" i="3" s="1"/>
  <c r="AP6" i="3"/>
  <c r="AP2" i="3" s="1"/>
  <c r="W6" i="3"/>
  <c r="W2" i="3" s="1"/>
  <c r="AC6" i="3"/>
  <c r="AC2" i="3" s="1"/>
  <c r="BA6" i="3"/>
  <c r="BA2" i="3" s="1"/>
  <c r="H6" i="3"/>
  <c r="H2" i="3" s="1"/>
  <c r="F67" i="12"/>
  <c r="N67" i="12" s="1"/>
  <c r="L97" i="12"/>
  <c r="N97" i="12" s="1"/>
  <c r="L96" i="12"/>
  <c r="N66" i="12"/>
  <c r="N8" i="12"/>
  <c r="AO6" i="3"/>
  <c r="AO2" i="3" s="1"/>
  <c r="F7" i="3"/>
  <c r="F83" i="12"/>
  <c r="N83" i="12" s="1"/>
  <c r="F45" i="12"/>
  <c r="N45" i="12" s="1"/>
  <c r="F122" i="12"/>
  <c r="N122" i="12" s="1"/>
  <c r="F65" i="3"/>
  <c r="F96" i="3"/>
  <c r="L7" i="12"/>
  <c r="F7" i="5"/>
  <c r="J7" i="12" s="1"/>
  <c r="J140" i="12" s="1"/>
  <c r="F7" i="4"/>
  <c r="H7" i="12" s="1"/>
  <c r="L5" i="12" l="1"/>
  <c r="L4" i="12" s="1"/>
  <c r="L140" i="12"/>
  <c r="H5" i="12"/>
  <c r="H4" i="12" s="1"/>
  <c r="H140" i="12"/>
  <c r="J5" i="12"/>
  <c r="J4" i="12" s="1"/>
  <c r="F7" i="12"/>
  <c r="F65" i="12"/>
  <c r="N65" i="12" s="1"/>
  <c r="F96" i="12"/>
  <c r="F6" i="3"/>
  <c r="F2" i="3" s="1"/>
  <c r="N7" i="12" l="1"/>
  <c r="F140" i="12"/>
  <c r="F5" i="12"/>
  <c r="F4" i="12" s="1"/>
  <c r="N96" i="12"/>
  <c r="J127" i="12"/>
  <c r="N127" i="12" s="1"/>
  <c r="L34" i="12"/>
  <c r="N34" i="12" s="1"/>
  <c r="N140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tc={58ED41EC-4A77-4C3E-904C-9194D66B4C08}</author>
    <author>Lina Marcela Quintero Velasquez</author>
    <author>tc={77736727-A18D-421A-8581-F2D813402337}</author>
    <author>tc={FBD9B4E7-4F75-443C-AF3B-381849D08816}</author>
    <author>tc={3B934A95-3412-4554-AB55-16772B81E8FC}</author>
    <author>tc={8DC74260-C057-4605-87AE-879E38962857}</author>
    <author>tc={76EB7EC6-FC35-4F5D-8AFC-BF98FD8B8CC9}</author>
    <author>tc={A4A2B660-0371-438D-A114-B149B53DD932}</author>
    <author>tc={0B67445C-91D2-4FD1-8884-E87585A1643C}</author>
    <author>tc={03B439AE-6271-4927-ADD6-DB674DEF7964}</author>
    <author>tc={8C00096F-5963-4D38-8A53-A45ED91692E7}</author>
    <author>Luz Adriana Ramirez Lopez</author>
    <author>tc={121070F9-5A0B-430F-9623-DBF0765D9176}</author>
    <author>tc={24B5A697-061C-4E3D-A6BA-CD73D5748A37}</author>
    <author>tc={10BB200A-4E58-4B40-A765-6FB86DCADEE7}</author>
    <author>tc={2F22944C-412D-41E7-9380-C4541760A675}</author>
    <author>tc={A061BDAE-E422-4D98-A6AC-151228052641}</author>
    <author>tc={2A9877F3-ACDD-49D8-BDDD-92964ACBE808}</author>
    <author>tc={0EEBF159-AFB9-4CCB-A72F-58D2FF97E3B0}</author>
    <author>tc={9D832D24-C5FF-483A-8953-EB5996E934AD}</author>
    <author>tc={B9106227-5FAD-4903-93F3-9080593A3854}</author>
    <author>tc={5015DF8C-4FBB-4C9C-9B8F-95A586F3A8E5}</author>
    <author>tc={D575B450-FE14-49AE-8F9C-82D8490BA89F}</author>
    <author>tc={3D3AB47B-FFF0-4F7D-AE97-A1945DF54DAC}</author>
    <author>tc={FEBD9667-1DBB-4766-A14F-C9DDF3371DA3}</author>
    <author>tc={F46F5283-85F4-4591-AFAE-6E54FD3FC0E7}</author>
    <author>tc={8813AAF0-9D93-4836-936E-30DC60B8B652}</author>
    <author>tc={EA7463BC-7194-42DA-A150-5501F82E8D3D}</author>
    <author>tc={E00DEEF2-FEAA-4C4B-8C06-5E302631B692}</author>
    <author>tc={4709CDF1-7B8B-42FF-84F6-FFE18A51E57D}</author>
    <author>Usuario</author>
    <author>tc={4A58CD70-5565-44DE-AE0C-374EED7902A9}</author>
    <author>tc={FC267893-D090-4D94-9DAC-B040D466D722}</author>
    <author>tc={5200360A-9091-4F83-B938-50D35774AFE0}</author>
    <author>tc={C8192B2D-8BBF-4DE1-A02A-2DE5F071C125}</author>
    <author>tc={3E8B867F-C521-4063-A307-FEAA54429500}</author>
    <author>tc={58AF9C4B-94A8-4F57-BAA6-0B99C0A10651}</author>
    <author>tc={6E0D240E-D75C-4D4A-960A-695E260FC088}</author>
    <author>tc={F5176EFA-7B9E-45C9-9702-CD1324873561}</author>
  </authors>
  <commentList>
    <comment ref="I11" authorId="0" shapeId="0" xr:uid="{58ED41EC-4A77-4C3E-904C-9194D66B4C0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93688600 VivoCuenca</t>
      </text>
    </comment>
    <comment ref="Z11" authorId="1" shapeId="0" xr:uid="{29071FB2-C948-4A9D-92A4-885576EEB46F}">
      <text>
        <r>
          <rPr>
            <sz val="12"/>
            <color theme="1"/>
            <rFont val="Calibri"/>
            <family val="2"/>
            <scheme val="minor"/>
          </rPr>
          <t>Lina Marcela Quintero Velasquez:
Contrapartida ISAGEN 33/662 30.623.674</t>
        </r>
      </text>
    </comment>
    <comment ref="AZ11" authorId="2" shapeId="0" xr:uid="{77736727-A18D-421A-8581-F2D8134023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Aporte Isagen convenios microcuencas</t>
      </text>
    </comment>
    <comment ref="I16" authorId="3" shapeId="0" xr:uid="{FBD9B4E7-4F75-443C-AF3B-381849D088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79.854.007
VivoCuenca</t>
      </text>
    </comment>
    <comment ref="B18" authorId="4" shapeId="0" xr:uid="{3B934A95-3412-4554-AB55-16772B81E8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2.000 Para Manizales</t>
      </text>
    </comment>
    <comment ref="O18" authorId="5" shapeId="0" xr:uid="{8DC74260-C057-4605-87AE-879E3896285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3.000 millones para inversión en Manizales</t>
      </text>
    </comment>
    <comment ref="H19" authorId="6" shapeId="0" xr:uid="{76EB7EC6-FC35-4F5D-8AFC-BF98FD8B8CC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45.000.000 (sentencia nevados - acciones seguimiento. </t>
      </text>
    </comment>
    <comment ref="I19" authorId="7" shapeId="0" xr:uid="{A4A2B660-0371-438D-A114-B149B53DD9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40.000.000 aislamiento Tarcará y el Diamante - plan mejoramiento CGR</t>
      </text>
    </comment>
    <comment ref="N19" authorId="8" shapeId="0" xr:uid="{0B67445C-91D2-4FD1-8884-E87585A164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150.000.000 Sentencia parque nevados.  
100.000.000 Complejo páramo de Sonsón</t>
      </text>
    </comment>
    <comment ref="J21" authorId="9" shapeId="0" xr:uid="{03B439AE-6271-4927-ADD6-DB674DEF79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30.000.000 Meliponas</t>
      </text>
    </comment>
    <comment ref="Y21" authorId="10" shapeId="0" xr:uid="{8C00096F-5963-4D38-8A53-A45ED91692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30.000.000 congreso aviturismo</t>
      </text>
    </comment>
    <comment ref="Z21" authorId="1" shapeId="0" xr:uid="{8BD83530-A485-4617-9CD2-C347EA73A9CF}">
      <text>
        <r>
          <rPr>
            <sz val="12"/>
            <color theme="1"/>
            <rFont val="Calibri"/>
            <family val="2"/>
            <scheme val="minor"/>
          </rPr>
          <t>Lina Marcela Quintero Velasquez:
Contrapartida convenio Isagen 33/662 63.031.299.  $200.000.000 Estufas</t>
        </r>
      </text>
    </comment>
    <comment ref="AO27" authorId="11" shapeId="0" xr:uid="{66285736-6BD1-426A-8BF0-3B3B4645EABF}">
      <text>
        <r>
          <rPr>
            <sz val="12"/>
            <color theme="1"/>
            <rFont val="Calibri"/>
            <family val="2"/>
            <scheme val="minor"/>
          </rPr>
          <t xml:space="preserve">Luz Adriana Ramirez Lopez:
Contrapartida de Corpocaldas convenio con CARDER </t>
        </r>
      </text>
    </comment>
    <comment ref="BB27" authorId="12" shapeId="0" xr:uid="{121070F9-5A0B-430F-9623-DBF0765D91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523.000.000 estudio cuenca río Risaralda. Convenio Carder</t>
      </text>
    </comment>
    <comment ref="H59" authorId="13" shapeId="0" xr:uid="{24B5A697-061C-4E3D-A6BA-CD73D5748A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$20.000.000 Aporte Corpocaldas para Convenio Taller COP</t>
      </text>
    </comment>
    <comment ref="I59" authorId="14" shapeId="0" xr:uid="{10BB200A-4E58-4B40-A765-6FB86DCADE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40.000.000 VvoCuenca</t>
      </text>
    </comment>
    <comment ref="H69" authorId="15" shapeId="0" xr:uid="{2F22944C-412D-41E7-9380-C4541760A67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91.000.000 Obras Manizales. 29.565.773 Obras Supia</t>
      </text>
    </comment>
    <comment ref="I69" authorId="16" shapeId="0" xr:uid="{A061BDAE-E422-4D98-A6AC-15122805264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100.000.000 Sentencia Sabinas SBN. 30.000.000 Manizales
Respuesta:
    eliminar 30 millones  100  millones sabinas, lo ejecuta vivocuenca</t>
      </text>
    </comment>
    <comment ref="J69" authorId="17" shapeId="0" xr:uid="{2A9877F3-ACDD-49D8-BDDD-92964ACBE80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280.000.000 Obras Norcasia. 270.000.000 Obras Resguardo San Lorenzo.  76.000.000 Obras Supia</t>
      </text>
    </comment>
    <comment ref="K69" authorId="18" shapeId="0" xr:uid="{0EEBF159-AFB9-4CCB-A72F-58D2FF97E3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50.000.000 Contrapartida Corpocaldas convenio con Isagén (Sub. Infraestructura. 20.000.000 Obras Norcasia</t>
      </text>
    </comment>
    <comment ref="Y69" authorId="19" shapeId="0" xr:uid="{9D832D24-C5FF-483A-8953-EB5996E934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792.362.151 Obras Manizales</t>
      </text>
    </comment>
    <comment ref="Z69" authorId="20" shapeId="0" xr:uid="{B9106227-5FAD-4903-93F3-9080593A385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29.269.096 Obras Supía</t>
      </text>
    </comment>
    <comment ref="AD69" authorId="21" shapeId="0" xr:uid="{5015DF8C-4FBB-4C9C-9B8F-95A586F3A8E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71.100.000 Obras ;Manizales</t>
      </text>
    </comment>
    <comment ref="AO69" authorId="22" shapeId="0" xr:uid="{D575B450-FE14-49AE-8F9C-82D8490BA8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165.000.000 Obras Manizales</t>
      </text>
    </comment>
    <comment ref="BA69" authorId="23" shapeId="0" xr:uid="{3D3AB47B-FFF0-4F7D-AE97-A1945DF54DA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20.923061 Aporte municipio</t>
      </text>
    </comment>
    <comment ref="I73" authorId="24" shapeId="0" xr:uid="{FEBD9667-1DBB-4766-A14F-C9DDF337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660.000 VivoCuenca</t>
      </text>
    </comment>
    <comment ref="I74" authorId="25" shapeId="0" xr:uid="{F46F5283-85F4-4591-AFAE-6E54FD3FC0E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$ 100.000.000 Guardianas Cameguadua</t>
      </text>
    </comment>
    <comment ref="J74" authorId="26" shapeId="0" xr:uid="{8813AAF0-9D93-4836-936E-30DC60B8B65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$70.000.000 Limpieza charca Guarinocito.  $ 29.952.774 Humedales la Dorada</t>
      </text>
    </comment>
    <comment ref="AE74" authorId="27" shapeId="0" xr:uid="{EA7463BC-7194-42DA-A150-5501F82E8D3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$23.871.272 Humedales la Dorada</t>
      </text>
    </comment>
    <comment ref="AP74" authorId="28" shapeId="0" xr:uid="{E00DEEF2-FEAA-4C4B-8C06-5E302631B6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$ 36.175.954 Humedales la Dorada</t>
      </text>
    </comment>
    <comment ref="I94" authorId="29" shapeId="0" xr:uid="{4709CDF1-7B8B-42FF-84F6-FFE18A51E57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2.500.000 VivoCuenca</t>
      </text>
    </comment>
    <comment ref="B101" authorId="30" shapeId="0" xr:uid="{00000000-0006-0000-0000-000003000000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El fortalecimiento de la objetividad depende del cumplimiento de los términos de norma.
</t>
        </r>
        <r>
          <rPr>
            <sz val="9"/>
            <color rgb="FF000000"/>
            <rFont val="Tahoma"/>
            <family val="2"/>
          </rPr>
          <t>Revisar.</t>
        </r>
      </text>
    </comment>
    <comment ref="B103" authorId="30" shapeId="0" xr:uid="{00000000-0006-0000-0000-000004000000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recomienda revisar si esta actividad corresponde al programa de gestión financiera</t>
        </r>
      </text>
    </comment>
    <comment ref="B105" authorId="30" shapeId="0" xr:uid="{00000000-0006-0000-0000-000005000000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Revisar el verbo. Se recomienda implementar</t>
        </r>
      </text>
    </comment>
    <comment ref="B106" authorId="30" shapeId="0" xr:uid="{00000000-0006-0000-0000-000007000000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recomienda incluir en el cumplimiento de los tiempos, la evaluación jurídica del trámite, articulando la instancia técnica y jurídica</t>
        </r>
      </text>
    </comment>
    <comment ref="I114" authorId="31" shapeId="0" xr:uid="{4A58CD70-5565-44DE-AE0C-374EED7902A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20.000.000 VivoCuenca</t>
      </text>
    </comment>
    <comment ref="H128" authorId="32" shapeId="0" xr:uid="{FC267893-D090-4D94-9DAC-B040D466D7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18.000.000 sentencia páramo sonson</t>
      </text>
    </comment>
    <comment ref="J128" authorId="33" shapeId="0" xr:uid="{5200360A-9091-4F83-B938-50D35774AF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$ 12.985.292 Educación páramo Sonsón</t>
      </text>
    </comment>
    <comment ref="Z128" authorId="34" shapeId="0" xr:uid="{C8192B2D-8BBF-4DE1-A02A-2DE5F071C1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$50.000.000 Sentencia Charca. Educación</t>
      </text>
    </comment>
    <comment ref="I132" authorId="35" shapeId="0" xr:uid="{3E8B867F-C521-4063-A307-FEAA544295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21.337.184 VivoCuenca</t>
      </text>
    </comment>
    <comment ref="Z132" authorId="1" shapeId="0" xr:uid="{F1F7C03B-4CC6-4D3E-8F6F-513AE7C6DD8F}">
      <text>
        <r>
          <rPr>
            <sz val="12"/>
            <color theme="1"/>
            <rFont val="Calibri"/>
            <family val="2"/>
            <scheme val="minor"/>
          </rPr>
          <t>Lina Marcela Quintero Velasquez:
Contrapartida ISAGEN 33/662 48.418.027</t>
        </r>
      </text>
    </comment>
    <comment ref="H137" authorId="36" shapeId="0" xr:uid="{58AF9C4B-94A8-4F57-BAA6-0B99C0A1065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$30.000.000 contratación enlace</t>
      </text>
    </comment>
    <comment ref="X137" authorId="37" shapeId="0" xr:uid="{6E0D240E-D75C-4D4A-960A-695E260FC0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63422167 Aporte Minambiente Convenio</t>
      </text>
    </comment>
    <comment ref="Y137" authorId="11" shapeId="0" xr:uid="{A0FC45A4-9672-4C29-9308-4E40B66345BF}">
      <text>
        <r>
          <rPr>
            <sz val="12"/>
            <color theme="1"/>
            <rFont val="Calibri"/>
            <family val="2"/>
            <scheme val="minor"/>
          </rPr>
          <t>Luz Adriana Ramirez Lopez:
Contrapartida Convenio 1041-2023 Minambiente</t>
        </r>
      </text>
    </comment>
    <comment ref="Z137" authorId="11" shapeId="0" xr:uid="{05A86D7E-4163-412F-AF29-87C850E0329B}">
      <text>
        <r>
          <rPr>
            <sz val="12"/>
            <color theme="1"/>
            <rFont val="Calibri"/>
            <family val="2"/>
            <scheme val="minor"/>
          </rPr>
          <t>Luz Adriana Ramirez Lopez:
Contrapartida Convenio 1041-2023 Minambiente</t>
        </r>
      </text>
    </comment>
    <comment ref="H138" authorId="38" shapeId="0" xr:uid="{F5176EFA-7B9E-45C9-9702-CD13248735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30.000.000 Contratación enlace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tc={52ADE254-DA70-4DBE-83DF-8D51704F14BF}</author>
    <author>tc={B9375157-8C00-466C-A0EF-C31DC70E5D1F}</author>
    <author>tc={63A4EE7E-20B8-4849-9844-3BBD061A34A2}</author>
    <author>tc={14D09EFC-5B07-48C0-B9B5-08A6D3672C0B}</author>
    <author>tc={6AE3FAAB-2ABE-4357-967A-EAE53B029360}</author>
    <author>Usuario</author>
  </authors>
  <commentList>
    <comment ref="I16" authorId="0" shapeId="0" xr:uid="{52ADE254-DA70-4DBE-83DF-8D51704F14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50000000 VivoCuenca</t>
      </text>
    </comment>
    <comment ref="H21" authorId="1" shapeId="0" xr:uid="{B9375157-8C00-466C-A0EF-C31DC70E5D1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30.000.000 Meliponas.  50.000.000 aviturismo</t>
      </text>
    </comment>
    <comment ref="I21" authorId="2" shapeId="0" xr:uid="{63A4EE7E-20B8-4849-9844-3BBD061A34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200000000. Estufas</t>
      </text>
    </comment>
    <comment ref="B32" authorId="3" shapeId="0" xr:uid="{14D09EFC-5B07-48C0-B9B5-08A6D3672C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cambia. Inicia Fase I (2026) Fase II (2027)</t>
      </text>
    </comment>
    <comment ref="B39" authorId="4" shapeId="0" xr:uid="{00000000-0006-0000-0100-00000100000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sugiere cambiar unidad de medida </t>
      </text>
    </comment>
    <comment ref="B101" authorId="5" shapeId="0" xr:uid="{6E9C5F08-0F17-42E1-9788-2C25D329C0F1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El fortalecimiento de la objetividad depende del cumplimiento de los términos de norma.
</t>
        </r>
        <r>
          <rPr>
            <sz val="9"/>
            <color rgb="FF000000"/>
            <rFont val="Tahoma"/>
            <family val="2"/>
          </rPr>
          <t>Revisar.</t>
        </r>
      </text>
    </comment>
    <comment ref="B103" authorId="5" shapeId="0" xr:uid="{D1B7B220-762E-4931-831C-8CBF20DBB574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recomienda revisar si esta actividad corresponde al programa de gestión financiera</t>
        </r>
      </text>
    </comment>
    <comment ref="B105" authorId="5" shapeId="0" xr:uid="{F7AD55B4-841C-489C-82F9-2C9F2587C80D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Revisar el verbo. Se recomienda implementar</t>
        </r>
      </text>
    </comment>
    <comment ref="C105" authorId="5" shapeId="0" xr:uid="{8B50BD54-F1BF-414A-BD28-8C68910355CB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sugiere cambiar el término agendas por capacitaciones</t>
        </r>
      </text>
    </comment>
    <comment ref="B106" authorId="5" shapeId="0" xr:uid="{25A16C70-A45F-424F-9AC7-BC782A903CD6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recomienda incluir en el cumplimiento de los tiempos, la evaluación jurídica del trámite, articulando la instancia técnica y jurídica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tc={08C32AC7-0AAE-43D4-9AC4-838ECFC9D4B0}</author>
    <author>tc={552D28C1-F8F2-4D1F-BA82-8D6F4585D761}</author>
    <author>tc={F6F56C2A-061A-444E-A96A-D3C976BEB1BE}</author>
    <author>tc={00895F2B-303A-4C67-9EFB-7ABA11BB1F33}</author>
    <author>tc={E6DF729C-DFC1-4994-8D7A-439DF9A74EDB}</author>
    <author>Usuario</author>
  </authors>
  <commentList>
    <comment ref="I16" authorId="0" shapeId="0" xr:uid="{08C32AC7-0AAE-43D4-9AC4-838ECFC9D4B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120.000.000 VivoCuenca</t>
      </text>
    </comment>
    <comment ref="H21" authorId="1" shapeId="0" xr:uid="{552D28C1-F8F2-4D1F-BA82-8D6F4585D7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50.000.000 Meliponas. 100.000.000 Aviturismo</t>
      </text>
    </comment>
    <comment ref="I21" authorId="2" shapeId="0" xr:uid="{F6F56C2A-061A-444E-A96A-D3C976BEB1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200.000.000 estufas</t>
      </text>
    </comment>
    <comment ref="B32" authorId="3" shapeId="0" xr:uid="{00895F2B-303A-4C67-9EFB-7ABA11BB1F3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cambia. Inicia Fase I (2026) Fase II (2027)</t>
      </text>
    </comment>
    <comment ref="B39" authorId="4" shapeId="0" xr:uid="{E6DF729C-DFC1-4994-8D7A-439DF9A74EDB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sugiere cambiar unidad de medida </t>
      </text>
    </comment>
    <comment ref="B101" authorId="5" shapeId="0" xr:uid="{7D4F4592-0EFC-4ED0-B9E1-BD2CC93CB2B1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El fortalecimiento de la objetividad depende del cumplimiento de los términos de norma.
</t>
        </r>
        <r>
          <rPr>
            <sz val="9"/>
            <color rgb="FF000000"/>
            <rFont val="Tahoma"/>
            <family val="2"/>
          </rPr>
          <t>Revisar.</t>
        </r>
      </text>
    </comment>
    <comment ref="B103" authorId="5" shapeId="0" xr:uid="{D774BDE0-1FB9-453F-B241-4A2CB63B85BC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recomienda revisar si esta actividad corresponde al programa de gestión financiera</t>
        </r>
      </text>
    </comment>
    <comment ref="B105" authorId="5" shapeId="0" xr:uid="{44D38E6B-8B41-41C8-80AF-FB1A676614C4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Revisar el verbo. Se recomienda implementar</t>
        </r>
      </text>
    </comment>
    <comment ref="C105" authorId="5" shapeId="0" xr:uid="{BA6F60CB-5CD8-42C8-AC7C-FD10EB836A8F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sugiere cambiar el término agendas por capacitaciones</t>
        </r>
      </text>
    </comment>
    <comment ref="B106" authorId="5" shapeId="0" xr:uid="{AB8DA417-133E-469D-AC01-AAE6D1925375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recomienda incluir en el cumplimiento de los tiempos, la evaluación jurídica del trámite, articulando la instancia técnica y jurídica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tc={08250F49-092B-4F85-9AA0-FCD8497AEBBD}</author>
    <author>tc={63F01746-5018-4298-BBE3-DF30A758F528}</author>
    <author>tc={C1443498-7960-4C1D-AB8D-4E367953EE17}</author>
    <author>tc={9A0C117A-BA17-41B5-BCC5-80BB6F585C91}</author>
    <author>Usuario</author>
  </authors>
  <commentList>
    <comment ref="I16" authorId="0" shapeId="0" xr:uid="{08250F49-092B-4F85-9AA0-FCD8497AEB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120.000.000 VivoCuenca</t>
      </text>
    </comment>
    <comment ref="H21" authorId="1" shapeId="0" xr:uid="{63F01746-5018-4298-BBE3-DF30A758F5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50.000.000 Meliponas. 100.000.000 aviturismo</t>
      </text>
    </comment>
    <comment ref="B32" authorId="2" shapeId="0" xr:uid="{C1443498-7960-4C1D-AB8D-4E367953EE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cambia. Inicia Fase I (2026) Fase II (2027)</t>
      </text>
    </comment>
    <comment ref="B39" authorId="3" shapeId="0" xr:uid="{9A0C117A-BA17-41B5-BCC5-80BB6F585C9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sugiere cambiar unidad de medida </t>
      </text>
    </comment>
    <comment ref="B101" authorId="4" shapeId="0" xr:uid="{7B66835F-65EC-4313-8FB1-9DE75CCB48D2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El fortalecimiento de la objetividad depende del cumplimiento de los términos de norma.
</t>
        </r>
        <r>
          <rPr>
            <sz val="9"/>
            <color rgb="FF000000"/>
            <rFont val="Tahoma"/>
            <family val="2"/>
          </rPr>
          <t>Revisar.</t>
        </r>
      </text>
    </comment>
    <comment ref="B103" authorId="4" shapeId="0" xr:uid="{BE052781-2500-42DF-BC41-199E48B0DF44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recomienda revisar si esta actividad corresponde al programa de gestión financiera</t>
        </r>
      </text>
    </comment>
    <comment ref="B105" authorId="4" shapeId="0" xr:uid="{609197F7-AABD-4C6F-8004-9A83E623A011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Revisar el verbo. Se recomienda implementar</t>
        </r>
      </text>
    </comment>
    <comment ref="C105" authorId="4" shapeId="0" xr:uid="{353F22AA-2125-455F-B086-701B3EBA402B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sugiere cambiar el término agendas por capacitaciones</t>
        </r>
      </text>
    </comment>
    <comment ref="B106" authorId="4" shapeId="0" xr:uid="{AE74EBDC-2C4E-4547-9EE7-C70A0D50FE2A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recomienda incluir en el cumplimiento de los tiempos, la evaluación jurídica del trámite, articulando la instancia técnica y jurídica</t>
        </r>
      </text>
    </comment>
  </commentList>
</comments>
</file>

<file path=xl/sharedStrings.xml><?xml version="1.0" encoding="utf-8"?>
<sst xmlns="http://schemas.openxmlformats.org/spreadsheetml/2006/main" count="756" uniqueCount="405">
  <si>
    <t xml:space="preserve">Gastos operativos </t>
  </si>
  <si>
    <t>INGRESOS CORRIENTES</t>
  </si>
  <si>
    <t>RECURSOS DEL BALANCE</t>
  </si>
  <si>
    <t>Total sin gastos operativos</t>
  </si>
  <si>
    <t>Sobretasa/Porcentaje Ambiental</t>
  </si>
  <si>
    <t>TSE CHEC</t>
  </si>
  <si>
    <t>TSE Miel</t>
  </si>
  <si>
    <t>TSE Isagen Guarinó</t>
  </si>
  <si>
    <t>TSE Aportes PCH Morro Azul</t>
  </si>
  <si>
    <t>Derechos administrativos (licencias, permisos y tramites ambientales)</t>
  </si>
  <si>
    <t>Tasa por Uso de Agua</t>
  </si>
  <si>
    <t>Tasa Retributiva</t>
  </si>
  <si>
    <t>Tasa Aprovechamiento Forestal</t>
  </si>
  <si>
    <t>Tasa por Caza de Fauna</t>
  </si>
  <si>
    <t>Multas y Sanciones</t>
  </si>
  <si>
    <t>Rendimientos Financieros/S0bretasa ambiental//Derechos Administrativos y multas</t>
  </si>
  <si>
    <t>Rendimientos Financieros/TSE Isagen</t>
  </si>
  <si>
    <t>Rendimientos Financieros/TUA</t>
  </si>
  <si>
    <t>Rendimientos Financieros/TR</t>
  </si>
  <si>
    <t>Donaciones del Sector Privado</t>
  </si>
  <si>
    <t>Rentas Contractuales</t>
  </si>
  <si>
    <t>TSE - Isagen Miel</t>
  </si>
  <si>
    <t>TSE - Isagen Guarinó</t>
  </si>
  <si>
    <t>TSE - Isagen riomanso</t>
  </si>
  <si>
    <t>TSE -Chec (Aporte Vivocuenca)</t>
  </si>
  <si>
    <t xml:space="preserve">TSE -Chec </t>
  </si>
  <si>
    <t>TSE - Termodorada</t>
  </si>
  <si>
    <t>TSE - Energía Risaralda</t>
  </si>
  <si>
    <t>TSE - El Edén</t>
  </si>
  <si>
    <t>Derechos Administrativos</t>
  </si>
  <si>
    <t>Tasa por el uso del agua</t>
  </si>
  <si>
    <t>Tasa retributiva</t>
  </si>
  <si>
    <t>Tasa compensatoria por caza de fauna silvestre</t>
  </si>
  <si>
    <t>Multas ambientales</t>
  </si>
  <si>
    <t>Fallos Nacionales</t>
  </si>
  <si>
    <t>Disposición de Activos no Financieros</t>
  </si>
  <si>
    <t>RF- Sobretasa/Porcentaje Ambiental</t>
  </si>
  <si>
    <t>RF Transferencias del Sector Electrico</t>
  </si>
  <si>
    <t>RF -Derechos Administrativos</t>
  </si>
  <si>
    <t>RF - Tasa por el uso del agua</t>
  </si>
  <si>
    <t>RF - Tasa retributiva</t>
  </si>
  <si>
    <t>Reintegros y Otros Recursos no Apropiados/Sobretasa y Otros ingresos</t>
  </si>
  <si>
    <t>Reintegros y Otros Recursos no Apropiados/TSE</t>
  </si>
  <si>
    <t>Reintegros y Otros Recursos no Apropiados/TUA</t>
  </si>
  <si>
    <t>Reintegros y Otros Recursos no Apropiados/TR</t>
  </si>
  <si>
    <t>Reintegros y Otros Recursos no Apropiados/RF</t>
  </si>
  <si>
    <t xml:space="preserve">Reintegros y Otros Recursos no Apropiados/otros Ingresos </t>
  </si>
  <si>
    <t>Convenio Donación Isagen 33- 662 Isagen-Corpocaldas</t>
  </si>
  <si>
    <t>CI-092-2023 Supía - Corpocaldas (Obras de Reducción del Riesgo)</t>
  </si>
  <si>
    <t>CI-599-2023 Carder - Corpocaldas</t>
  </si>
  <si>
    <t>PILAR 1</t>
  </si>
  <si>
    <t>BIOTERRITORIO SOSTENIBLE</t>
  </si>
  <si>
    <t>PROGRAMA 1.1</t>
  </si>
  <si>
    <t>BIODIVERSIDAD Y SERVICIOS ECOSITÉMICOS</t>
  </si>
  <si>
    <t>PROYECTO 1.1.1</t>
  </si>
  <si>
    <t xml:space="preserve">Acciones para la conservación de la  biodiversidad y sus servicios ecosistémicos  </t>
  </si>
  <si>
    <t>CÓDIGO DNP</t>
  </si>
  <si>
    <t>CODIGO</t>
  </si>
  <si>
    <t>ACCIONES 
(INFINITIVO)</t>
  </si>
  <si>
    <t>UNIDAD 
DE MEDIDA</t>
  </si>
  <si>
    <t>INDICADOR 
FÓRMULA</t>
  </si>
  <si>
    <t>Cantidad (2024)</t>
  </si>
  <si>
    <t>Inversión $ (2024)
 Asignado</t>
  </si>
  <si>
    <t>1.1.1.1</t>
  </si>
  <si>
    <t xml:space="preserve">Restaurar áreas de especial importancia ambiental para la conservación de la biodiversidad y sus servicios ecosistemicos </t>
  </si>
  <si>
    <t>Número</t>
  </si>
  <si>
    <t># de Hectareas de áreas de ecosistemas en restauración, rehabilitación y reforestación</t>
  </si>
  <si>
    <t>1.1.1.2</t>
  </si>
  <si>
    <t>Implementar planes de manejo para prevenir, controlar y manejar especies invasoras de flora</t>
  </si>
  <si>
    <t xml:space="preserve"># de planes de manejo </t>
  </si>
  <si>
    <t>1.1.1.3</t>
  </si>
  <si>
    <t xml:space="preserve">Asegurar la operatividad de los CAV de Flora </t>
  </si>
  <si>
    <t># de CAV</t>
  </si>
  <si>
    <t>1.1.1.4</t>
  </si>
  <si>
    <t>Implementar planes de manejo y acciones para la conservación de especies amenazadas de flora</t>
  </si>
  <si>
    <t>1.1.1.5</t>
  </si>
  <si>
    <t xml:space="preserve">Implementar proyecto de desarrollo forestal sostenible </t>
  </si>
  <si>
    <t>#proyecto de desarrollo forestal sostenible</t>
  </si>
  <si>
    <t>1.1.1.6</t>
  </si>
  <si>
    <t xml:space="preserve">Implementar estrátegias de incentivos para la conservación de la biodiversidad y sus servicios ecosistémicos </t>
  </si>
  <si>
    <t># de estrategias de pagos por servicios ambientales implementadas</t>
  </si>
  <si>
    <t>1.1.1.7</t>
  </si>
  <si>
    <t>Prevenir y controlar la contaminación hídrica (saneamiento básico rural)</t>
  </si>
  <si>
    <t xml:space="preserve"># de unidades de saneamiento básico rural </t>
  </si>
  <si>
    <t>1.1.1.8</t>
  </si>
  <si>
    <t>Prevenir y controlar la contaminación hídrica (saneamiento básico urbano)</t>
  </si>
  <si>
    <t># de municipios con obras  saneamiento básico urbano</t>
  </si>
  <si>
    <t>1.1.1.9</t>
  </si>
  <si>
    <t xml:space="preserve">Implementar acciones de los planes de manejo de áreas protegidas y ecosistemas estrátegicos </t>
  </si>
  <si>
    <t># planes de manejo con  acciones implementadas</t>
  </si>
  <si>
    <t>1.1.1.10</t>
  </si>
  <si>
    <t>Implementar otras estrategias de conservación  y  apoyar la declaratoria de las  Reservas Naturales de la Sociedad Civil</t>
  </si>
  <si>
    <t># de predios con otras estratégias de conservación implementadas</t>
  </si>
  <si>
    <t>1.1.1.11</t>
  </si>
  <si>
    <t xml:space="preserve">Apoyar proyectos de uso sostenible de la biodiversidad y sus servicios ecosistemicos </t>
  </si>
  <si>
    <t># de proyectos apoyados</t>
  </si>
  <si>
    <t>1.1.1.12</t>
  </si>
  <si>
    <t xml:space="preserve">Asesorar a los entes territoriales y otros actores para la conservacion, manejo y uso sostenible de la Biodiversidad y sus servicios ecosistemicos </t>
  </si>
  <si>
    <t># de municipios asesorados</t>
  </si>
  <si>
    <t>1.1.1.13</t>
  </si>
  <si>
    <t>Impulsar el desarrollo de sistemas regenerativos de producción agrícola y pecuaria agroecológica, como soporte de la recuperación de la biodiversidad, los suelos y la conectividad funcional.</t>
  </si>
  <si>
    <t># de iniciativas apoyadas</t>
  </si>
  <si>
    <t>PROYECTO 1.1.2</t>
  </si>
  <si>
    <t xml:space="preserve">Gestion del conocimiento e innovación para la conservación y uso sostenible de la biodiversidad y sus servicios ecosistémicos </t>
  </si>
  <si>
    <t>1.1.2.1</t>
  </si>
  <si>
    <t xml:space="preserve">Realizar análisis de efectividad de áreas protegidas </t>
  </si>
  <si>
    <t># de AP con análisis de efectividad</t>
  </si>
  <si>
    <t>1.1.2.2</t>
  </si>
  <si>
    <t>Realizar estudios de biodiversidad y servicios ecosistémicos para actualizar la línea base del departamento</t>
  </si>
  <si>
    <t># de estudios de biodiversidad</t>
  </si>
  <si>
    <t>1.1.2.3</t>
  </si>
  <si>
    <t>Realizar estudios de capacidad de carga turística en áreas ambientales estratégicas para reglamentar el ecoturismo</t>
  </si>
  <si>
    <t># de estudios de capacidad de carga</t>
  </si>
  <si>
    <t>1.1.2.4</t>
  </si>
  <si>
    <t>Realizar estudios de calidad de aire</t>
  </si>
  <si>
    <t># de estudios de calidad de aire</t>
  </si>
  <si>
    <t>1.1.2.5</t>
  </si>
  <si>
    <t>Ampliar y garantizar la operación y el mantenimiento de las  redes de monitoreo</t>
  </si>
  <si>
    <t>Número de redes de monitoreo en operación</t>
  </si>
  <si>
    <t>1.1.2.6</t>
  </si>
  <si>
    <t>Garantizar el funcionamiento del Sistema Información Ambiental</t>
  </si>
  <si>
    <t>Sistema de información regional funcionando</t>
  </si>
  <si>
    <t>1.1.2.7</t>
  </si>
  <si>
    <t xml:space="preserve">Realizar estudios tendientes a la caracterización de la degradación de suelos </t>
  </si>
  <si>
    <t xml:space="preserve">Porcentaje </t>
  </si>
  <si>
    <t xml:space="preserve">% estudios de caracterización de la degradación de suelos </t>
  </si>
  <si>
    <t>1.1.2.8</t>
  </si>
  <si>
    <t>Ampliar el conocimiento hidrogeologico de la región centro sur del departamento de Caldas</t>
  </si>
  <si>
    <t>% de estudios Fases I y II</t>
  </si>
  <si>
    <t>1.1.2.9</t>
  </si>
  <si>
    <t>Desarrollar programa de monitoreo participativo en torno a la biodiversidad y los servicios ecosistemicos</t>
  </si>
  <si>
    <t xml:space="preserve"> Programa de Monitoreo Participativo</t>
  </si>
  <si>
    <t>1.1.2.10</t>
  </si>
  <si>
    <t>Adelantar un estudio de caracterización sobre sistemas locales de cosecha y aprovechamiento de agua lluvia y el potencial de la incorporación de su uso doméstico , comercial e industrial como mecanismo de adaptación al cambio climático y de aporte al ahorro y uso eficiente del recurso hídrico</t>
  </si>
  <si>
    <t>% de estudio de caracterización de cosecha y aprovechamiento de agua lluvia</t>
  </si>
  <si>
    <t>PROYECTO 1.1.3</t>
  </si>
  <si>
    <t>Conservacion y Manejo de la Fauna Silvestre</t>
  </si>
  <si>
    <t>1.1.3.1</t>
  </si>
  <si>
    <t xml:space="preserve">Asegurar la operatividad de los CAV de Fauna de Corpocaldas </t>
  </si>
  <si>
    <t># de CAV implementados y operando</t>
  </si>
  <si>
    <t>1.1.3.2</t>
  </si>
  <si>
    <t>Diseñar e Implementar una estrategia para prevención y control de la casería, el trafico y tenencia ilegal de fauna silvestre</t>
  </si>
  <si>
    <t xml:space="preserve">Estrategia diseñada e implementada </t>
  </si>
  <si>
    <t>1.1.3.3</t>
  </si>
  <si>
    <t>Desarrollar acciones para la conservación de especies amenazadas, endémicas y focales con y sin plan de manejo</t>
  </si>
  <si>
    <t># de especies amenazadas, endémicas y focales con acciones de conservación</t>
  </si>
  <si>
    <t>1.1.3.4</t>
  </si>
  <si>
    <t>Consolidar y operar la red de monitoreo de fauna silvestre en ecosistemas naturales y transformados</t>
  </si>
  <si>
    <t>Red de monitoreo de fauna operando</t>
  </si>
  <si>
    <t>1.1.3.5</t>
  </si>
  <si>
    <t>Desarrollar monitoreo de los animales liberados y rehabilitados en Corpocaldas</t>
  </si>
  <si>
    <t xml:space="preserve">% de individuos liberados con monitoreo </t>
  </si>
  <si>
    <t>1.1.3.6</t>
  </si>
  <si>
    <t>Atender los conflictos reportados por fauna</t>
  </si>
  <si>
    <t>Porcentaje</t>
  </si>
  <si>
    <t>% de conflictos atendidos</t>
  </si>
  <si>
    <t>1.1.3.7</t>
  </si>
  <si>
    <t xml:space="preserve">Desarrollar acciones para prevenir, controlar y manejar especies exóticas e invasoras de fauna con y sin plan de manejo </t>
  </si>
  <si>
    <t># de planes de manejo para especies exoticas invasoras y generadoras de conflicto de fauna implementados</t>
  </si>
  <si>
    <t>PROGRAMA 1.2</t>
  </si>
  <si>
    <t>PLANIFICACIÓN Y ORDENAMIENTO DEL BIOTERRITORIO</t>
  </si>
  <si>
    <t>PROYECTO 1.2.1</t>
  </si>
  <si>
    <t xml:space="preserve">Agua y ordenamiento del bioterritorio </t>
  </si>
  <si>
    <t>CODIGO DNP</t>
  </si>
  <si>
    <t>1.2.1.1</t>
  </si>
  <si>
    <t>Revisar y ajustar las determinantes ambientales para el ordenamiento territorial de acuerdo con las dinámicas normativas y las condiciones del bioterritorio</t>
  </si>
  <si>
    <t>% Determinantes ambientales revisadas y ajustadas</t>
  </si>
  <si>
    <t>1.2.1.2</t>
  </si>
  <si>
    <t>Acotar rondas hidricas para corrientes priorizadas de Caldas</t>
  </si>
  <si>
    <t># corrientes acotadas</t>
  </si>
  <si>
    <t>1.2.1.3</t>
  </si>
  <si>
    <t>Realizar asistencia tecnica a las entidades territoriales en la incorporación de las determinantes ambientales en los instrumentos de Ordenamiento  Territorial</t>
  </si>
  <si>
    <t># de Entidafes territoriales acompañadas</t>
  </si>
  <si>
    <t>1.2.1.4</t>
  </si>
  <si>
    <t xml:space="preserve">Realizar seguimiento a la aplicación de las determinantes ambientales en el Ordenamiento Territorial
</t>
  </si>
  <si>
    <t># de Entidades territoriales con seguimiento a las determinantes ambientales</t>
  </si>
  <si>
    <t>1.2.1.5</t>
  </si>
  <si>
    <t>Declarar o ampliar áreas protegidas en el departamento de Caldas</t>
  </si>
  <si>
    <t># de áreas declaradas</t>
  </si>
  <si>
    <t>1.2.1.6</t>
  </si>
  <si>
    <t>Realizar inventario  de usuarios del recurso hídrico para el registro y/o legalizacion en subzonas hidrográficas priorizadas</t>
  </si>
  <si>
    <t># de usuarios registrados</t>
  </si>
  <si>
    <t>1.2.1.7</t>
  </si>
  <si>
    <t xml:space="preserve">Diseñar herramientas de conservacción para la gestión y administración del recurso hídrico </t>
  </si>
  <si>
    <t># de herramientas diseñadas</t>
  </si>
  <si>
    <t>1.2.1.8</t>
  </si>
  <si>
    <t>Formular lineamientos para el desarrollo de turismo sostenible en áreas de la estructura ecológica principal</t>
  </si>
  <si>
    <t># de lineamientos formulados</t>
  </si>
  <si>
    <t>PROYECTO 1.2.2</t>
  </si>
  <si>
    <t xml:space="preserve">Instrumentos de planificación, seguimiento y control ambiental del bioterritorio </t>
  </si>
  <si>
    <t>1.2.2.1</t>
  </si>
  <si>
    <r>
      <t xml:space="preserve">Adoptar instrumentos de </t>
    </r>
    <r>
      <rPr>
        <strike/>
        <sz val="10"/>
        <color theme="1"/>
        <rFont val="Calibri"/>
        <scheme val="minor"/>
      </rPr>
      <t xml:space="preserve"> </t>
    </r>
    <r>
      <rPr>
        <sz val="10"/>
        <color theme="1"/>
        <rFont val="Calibri"/>
        <scheme val="minor"/>
      </rPr>
      <t xml:space="preserve">planificación ambiental </t>
    </r>
  </si>
  <si>
    <t># de planes adoptados</t>
  </si>
  <si>
    <t>1.2.2.2</t>
  </si>
  <si>
    <r>
      <t xml:space="preserve">Formular o actualizar instrumentos de </t>
    </r>
    <r>
      <rPr>
        <strike/>
        <sz val="10"/>
        <color theme="1"/>
        <rFont val="Calibri"/>
        <scheme val="minor"/>
      </rPr>
      <t xml:space="preserve"> </t>
    </r>
    <r>
      <rPr>
        <sz val="10"/>
        <color theme="1"/>
        <rFont val="Calibri"/>
        <scheme val="minor"/>
      </rPr>
      <t xml:space="preserve">planificación ambiental </t>
    </r>
  </si>
  <si>
    <t># de planes formulados/actualizados</t>
  </si>
  <si>
    <t>1.2.2.3</t>
  </si>
  <si>
    <t xml:space="preserve">Formular planes de acción de microcuencas abastecedoras de acueductos (ABACOS) </t>
  </si>
  <si>
    <t># planes de acción de microcuencas abastecedoras de acueductos (ABACOS) formulados</t>
  </si>
  <si>
    <t>1.2.2.4</t>
  </si>
  <si>
    <t>Evaluar la incorporación de las determinantes ambientales en el proceso de concertación ambiental de los instrumentos de ordenamiento territorial</t>
  </si>
  <si>
    <t>% de  Instrumentos de ordenamiento territorial evaluados</t>
  </si>
  <si>
    <t>1.2.2.5</t>
  </si>
  <si>
    <t>Apoyar a los entes territoriales en la   formulación y/o actualización de los Planes de Gestión Integral de Residuos Sólidos</t>
  </si>
  <si>
    <t># de entidades  territoriales apoyadas</t>
  </si>
  <si>
    <t>1.2.2.6</t>
  </si>
  <si>
    <t>Seguimiento a la implementación de los instrumentos de planificación ambiental</t>
  </si>
  <si>
    <t># de instrumentos de planificación ambiental con seguimiento a la implementación</t>
  </si>
  <si>
    <t>1.2.2.7</t>
  </si>
  <si>
    <t xml:space="preserve">Formular e implementar el Programa Institucional Regional de Monitoreo del Agua - PIRMA </t>
  </si>
  <si>
    <t>Programa Institucional Regional de Monitoreo del Agua - PIRMA formulado e implementado</t>
  </si>
  <si>
    <t>PILAR 2</t>
  </si>
  <si>
    <t>BIODESARROLLO SOSTENIBLE</t>
  </si>
  <si>
    <t>PROGRAMA 2.1</t>
  </si>
  <si>
    <t>RIESGOS AMBIENTALES Y CAMBIO CLIMÁTICO</t>
  </si>
  <si>
    <t>PROYECTO 2.1.1</t>
  </si>
  <si>
    <t>Gestión de riesgos ambientales</t>
  </si>
  <si>
    <t>2.1.1.1</t>
  </si>
  <si>
    <t xml:space="preserve">Implementar medidas estructurales (obras de ingeniería y Soluciones Basadas en la Naturaleza - SBN) para la reducción del riesgo de desastres </t>
  </si>
  <si>
    <t># de sitios intervenidos</t>
  </si>
  <si>
    <t>2.1.1.2</t>
  </si>
  <si>
    <t>Desarrollar acciones comunitarias y sectoriales en torno a la gestión, conocimiento y reducción de riesgos ambientales en el territorio</t>
  </si>
  <si>
    <t xml:space="preserve"># de acciones realizadas en gestión del riesgo </t>
  </si>
  <si>
    <t>2.1.1.3</t>
  </si>
  <si>
    <t>Implementar medidas de manejo, remediación y recuperación ambiental desarrolladas en ecosistemas afectados por emergencias (considerando la guía de Evaluación de Daños Ambientales - EDANA)</t>
  </si>
  <si>
    <t>2.1.1.4</t>
  </si>
  <si>
    <t>Generar y divulgar información y conocimiento sobre riesgos que afecten la oferta y disponibilidad del recurso hídrico, la calidad del aíre y ruido.</t>
  </si>
  <si>
    <t># de municipios informados</t>
  </si>
  <si>
    <t>2.1.1.5</t>
  </si>
  <si>
    <t xml:space="preserve">Implementar medidas para reducción del riesgo de la pérdida de biodiversidad y servicios ecosistemicos considerando los 5 motores de pérdida de biodiversidad: la deforestación; el cambio en el uso del suelo; la introducción de especies, la toxificación, eutrofización, desertificación; y el cambio climático. </t>
  </si>
  <si>
    <t># de medidas implementadas</t>
  </si>
  <si>
    <t>2.1.1.6</t>
  </si>
  <si>
    <t>Mantener las medidas de reducción del riesgo (Programa Guardianes)</t>
  </si>
  <si>
    <t># de programas implementados</t>
  </si>
  <si>
    <t>2.1.1.7</t>
  </si>
  <si>
    <t>Desarrollar estudios y diseños para el conocimiento de los diferentes riesgos ambientales del Departamento</t>
  </si>
  <si>
    <t># de proyectos realizados</t>
  </si>
  <si>
    <t>PROYECTO 2.1.2</t>
  </si>
  <si>
    <t xml:space="preserve">Gestión para la adaptación y mitigación al cambio climático </t>
  </si>
  <si>
    <t>2.1.2.1</t>
  </si>
  <si>
    <t xml:space="preserve">Impulsar a los sectores a la medición de huella de carbono </t>
  </si>
  <si>
    <t># de Empresas que miden huella de carbono/año</t>
  </si>
  <si>
    <t>2.1.2.2</t>
  </si>
  <si>
    <t>Realizar acciones de reducción de Gases Efecto Invernadero - GEI en el sector ambiente</t>
  </si>
  <si>
    <t>Ton de CO2</t>
  </si>
  <si>
    <t>Ton CO2/año</t>
  </si>
  <si>
    <t>2.1.2.3</t>
  </si>
  <si>
    <t>Implementar proyectos de forestería comunitaria con bonos de carbono</t>
  </si>
  <si>
    <t># de proyecto de forestería comunitaria</t>
  </si>
  <si>
    <t>2.1.2.4</t>
  </si>
  <si>
    <t>Implementar acciones climáticas asociadas al PIGCC en los municipios del departamento de Caldas</t>
  </si>
  <si>
    <t xml:space="preserve"># de acciones realizadas por Corpocaldas en el marco del PIGCC </t>
  </si>
  <si>
    <t>2.1.2.5</t>
  </si>
  <si>
    <t>Realizar analisis de los efectos de la variabilidad y el cambio climático en el departamento, generando insumos para la toma de decisiones</t>
  </si>
  <si>
    <t># de analisis sobre los efectos de la variabilidad y el cambio climático en el departamento</t>
  </si>
  <si>
    <t>PROGRAMA 2.2</t>
  </si>
  <si>
    <t>RESPONSABILIDAD AMBIENTAL SECTORIAL</t>
  </si>
  <si>
    <t>PROYECTO 2.2.1</t>
  </si>
  <si>
    <t xml:space="preserve">Bioeconomía y sostenibilidad </t>
  </si>
  <si>
    <t>2.2.1.1</t>
  </si>
  <si>
    <t>Asistir técnicamente a los negocios verdes para su consolidación incluye verificación y asesoría</t>
  </si>
  <si>
    <t># de negocios verdes establecidos</t>
  </si>
  <si>
    <t>2.2.1.2</t>
  </si>
  <si>
    <t>Adelantar proyectos de Investigación Desarrollo e Innovación I+D+I en asuntos ambientales sectoriales</t>
  </si>
  <si>
    <t xml:space="preserve"># de proyectos de I+D+I </t>
  </si>
  <si>
    <t>2.2.1.3</t>
  </si>
  <si>
    <t xml:space="preserve">Apoyar la implementación de proyectos en el marco de los PGIRS </t>
  </si>
  <si>
    <t># de municipios acompañados</t>
  </si>
  <si>
    <t>2.2.1.4</t>
  </si>
  <si>
    <t xml:space="preserve">Actualizar e implementar acciones de las agendas ambientales sectoriales </t>
  </si>
  <si>
    <t># de agendas gestionadas</t>
  </si>
  <si>
    <t>2.2.1.5</t>
  </si>
  <si>
    <t>Apoyar la implementacion del Plan de Gestión Integral de Residuos Peligrosos - RESPEL</t>
  </si>
  <si>
    <t xml:space="preserve"># de acciones apoyadas </t>
  </si>
  <si>
    <t>PROYECTO 2.2.2</t>
  </si>
  <si>
    <t>Convergencia e integración ambiental regional</t>
  </si>
  <si>
    <t>2.2.2.1</t>
  </si>
  <si>
    <t xml:space="preserve">Apoyar la gestión del Programa de sostenibilidad del Paisaje Cultural Cafetero PCCC </t>
  </si>
  <si>
    <t># de acciones apoyadas</t>
  </si>
  <si>
    <t>2.2.2.2</t>
  </si>
  <si>
    <t xml:space="preserve">Apoyar la Gestion de Plataformas colaborativas </t>
  </si>
  <si>
    <t># de Plataformas apoyadas</t>
  </si>
  <si>
    <t>2.2.2.3</t>
  </si>
  <si>
    <t>Diseñar e implementar agenda de colaboración con instituciones de Educacion Superior y Centros/Institutos de Investigación</t>
  </si>
  <si>
    <t>Agendas Gestionada</t>
  </si>
  <si>
    <t>PILAR 3</t>
  </si>
  <si>
    <t>APROPIACIÓN DEL BIOTERRITORIO</t>
  </si>
  <si>
    <t>PROGRAMA 3.1</t>
  </si>
  <si>
    <t>GOBERNABILIDAD DEL BIOTERRITORIO</t>
  </si>
  <si>
    <t>PROYECTO 3.1.1</t>
  </si>
  <si>
    <t>Autoridad ambiental del bioterritorio</t>
  </si>
  <si>
    <t>3.1.1.1</t>
  </si>
  <si>
    <t>Establecer los lineamientos generales y consolidar los criterios técnicos, que permitan fortalecer la objetividad, oportunidad y transparencia en los procesos de evaluación ambiental, contribuyendo al desarrollo sostenible del país</t>
  </si>
  <si>
    <t xml:space="preserve"># de documentos formulados y socializados </t>
  </si>
  <si>
    <t>3.1.1.2</t>
  </si>
  <si>
    <t>Implementar el funcionamiento de la plataforma de recepción de trámites ambientales en linea a través de la página web de la entidad</t>
  </si>
  <si>
    <t>Numero</t>
  </si>
  <si>
    <t xml:space="preserve"># de trámites en linea </t>
  </si>
  <si>
    <t>3.1.1.3</t>
  </si>
  <si>
    <t>Actualizar las tablas de cobro e implementar metodos de  Autoliquidacion de tramites sujetos a pago y pago en linea</t>
  </si>
  <si>
    <t xml:space="preserve"># pagos de tramites en linea con autoliquidación </t>
  </si>
  <si>
    <t>3.1.1.4</t>
  </si>
  <si>
    <t>Cargar y validar la información geografica de expedientes activos en los sistemas de información de la entidad - Licenciamiento ambiental</t>
  </si>
  <si>
    <t># de expedientes con informaicón geográfica cargada y validada</t>
  </si>
  <si>
    <t>3.1.1.5</t>
  </si>
  <si>
    <t>Evaluar las solicitudes de permisos y licencias ambientales  en los tiempos establecidos en la normatividad ambiental vigente.</t>
  </si>
  <si>
    <t xml:space="preserve"># de tramites resueltos con el cumplimiento de tiempos de norma </t>
  </si>
  <si>
    <t>3.1.1.6</t>
  </si>
  <si>
    <t>Resolver técnicamente los diferentes trámites y permisos que se tienen como pasivos con corte a vigencia 2023</t>
  </si>
  <si>
    <t># de pasivos resueltos</t>
  </si>
  <si>
    <t>3.1.1.7</t>
  </si>
  <si>
    <t>Realizar cobertura del seguimiento (Documental, con visita o espacial) a los expedientes activos para cada uno de los trámites competencia de la entidad.</t>
  </si>
  <si>
    <t xml:space="preserve"># de seguimientos </t>
  </si>
  <si>
    <t>3.1.1.8</t>
  </si>
  <si>
    <t>Realizar el seguimiento, control y monitoreo a los recursos naturales, frente a la atención de PQRs y/o acciones preventivas</t>
  </si>
  <si>
    <t># de seguimientos de control y monitoreo</t>
  </si>
  <si>
    <t>3.1.1.9</t>
  </si>
  <si>
    <t>Gestionar el proceso de cierre de procesos sancionatorios y permisos en el marco del seguimiento a trámites y permisos competencia de la entidad con vigencia al 2023</t>
  </si>
  <si>
    <t>Cantidad de sancionatorios y trámites cerrados</t>
  </si>
  <si>
    <t>3.1.1.10</t>
  </si>
  <si>
    <t>Impulsar juridicamente los procesos sancionatorios recibidos en la vigencia</t>
  </si>
  <si>
    <t> % de procesos sancionatorios de la vigencia atendidos</t>
  </si>
  <si>
    <t>3.1.1.11</t>
  </si>
  <si>
    <t>Gestión jurídica a los trámites y/o permisos ambientales priorizados en la entidad</t>
  </si>
  <si>
    <t>% de tramites y/o permisos ambientales atendidos</t>
  </si>
  <si>
    <t>PROYECTO 3.1.2</t>
  </si>
  <si>
    <t>Gestión financiera</t>
  </si>
  <si>
    <t>3.1.2.1</t>
  </si>
  <si>
    <t>Realizar convenios para apoyar la conservación y/o la actualización catastral</t>
  </si>
  <si>
    <t># de Convenios ejecutados para la conservación y/o la actualización catastral</t>
  </si>
  <si>
    <t> </t>
  </si>
  <si>
    <t>3.1.2.2</t>
  </si>
  <si>
    <t>Fortalecer la Formulación y Gestión de Proyectos en la Corporación</t>
  </si>
  <si>
    <t># de proyectos formulados y gestionados ante diferentes instancias</t>
  </si>
  <si>
    <t>PROYECTO 3.1.3</t>
  </si>
  <si>
    <t>Modernización y fortalecimiento Institucional</t>
  </si>
  <si>
    <t>3.1.3.1</t>
  </si>
  <si>
    <t xml:space="preserve">Ejecutar el plan estratégico en Tecnología de la información y las comunicaciones </t>
  </si>
  <si>
    <t xml:space="preserve">% de cumplimiento plan estratégico en Tecnología de la información y las comunicaciones </t>
  </si>
  <si>
    <t>3.1.3.2</t>
  </si>
  <si>
    <t>Formular y ejecutar un plan que asegure la modernización y operatividad del Laboratorio ambiental</t>
  </si>
  <si>
    <t>% de cumplimiento plan estratégico de funcionamiento de laboratorio ambiental</t>
  </si>
  <si>
    <t>3.1.3.3</t>
  </si>
  <si>
    <t>Mejorar el porcentaje de implementación del modelo integrado de planeación y gestión</t>
  </si>
  <si>
    <t>% de implementación MIPG</t>
  </si>
  <si>
    <t>3.1.3.4</t>
  </si>
  <si>
    <t>Formular y ejecutar un plan que asegure la modernización y operatividad del Laboratorio de suelos</t>
  </si>
  <si>
    <t>% de cumplimiento plan estratégico de funcionamiento de laboratorio de suelos</t>
  </si>
  <si>
    <t>3.1.3.5</t>
  </si>
  <si>
    <t>Grupo de Investigación en Categoría C de MinCiencias</t>
  </si>
  <si>
    <t>PROGRAMA 3.2</t>
  </si>
  <si>
    <t>GOBERNANZA AMBIENTAL</t>
  </si>
  <si>
    <t>PROYECTO 3.2.1</t>
  </si>
  <si>
    <t>Educación y comunicación para la apropiación del bioterritorio</t>
  </si>
  <si>
    <t>3.2.1.1</t>
  </si>
  <si>
    <t>Implementar  estrategias de comunicación para el conocimiento ambiental, promoción de la conservación y la apropiación del bioterritorio y la acción colaborativa</t>
  </si>
  <si>
    <t># de Estrategias implementadas</t>
  </si>
  <si>
    <t>3.2.1.2</t>
  </si>
  <si>
    <t xml:space="preserve">Implementar estrategias de comunicación para la visibilización de la gestión y las competencias de la entidad  y mejorar la percepción de valor de los grupos de interés </t>
  </si>
  <si>
    <t>3.2.1.3</t>
  </si>
  <si>
    <t>Implementar estrategias de comunicación interna  que impacten postivamente la cultura y el clima organizacional</t>
  </si>
  <si>
    <t>3.2.1.4</t>
  </si>
  <si>
    <t>Implementar el programa de educación ambiental establecido para la vigencia 2024 - 2027</t>
  </si>
  <si>
    <t>% de implementación del programa de educación ambiental</t>
  </si>
  <si>
    <t>3.2.1.5</t>
  </si>
  <si>
    <t>Desarrollar proyectos de apropiación social del conocimiento socioambiental</t>
  </si>
  <si>
    <t># de acciones implementadas</t>
  </si>
  <si>
    <t>PROYECTO 3.2.2</t>
  </si>
  <si>
    <t>Participación para la incidencia en el Bioterritorio</t>
  </si>
  <si>
    <t>3.2.2.1</t>
  </si>
  <si>
    <t>Fortalecer los procesos y escenarios de participación ciudadana para garantizar el derecho a la participación, el acceso a la Justicia Ambiental, y el acceso a la información para la incidencia en las decisiones ambientales del territorio (ACUERDO DE ESCAZÚ).</t>
  </si>
  <si>
    <t># subregiones acompañadas</t>
  </si>
  <si>
    <t>3.2.2.2</t>
  </si>
  <si>
    <t>Acompañar a las instancias de veeduría ciudadana e implementar estrategias en torno a mecanismos de control social para el mejoramiento de la gestión pública</t>
  </si>
  <si>
    <t># de veedurías acompañadas y estrategias implementadas</t>
  </si>
  <si>
    <t>3.2.2.3</t>
  </si>
  <si>
    <t>Implementar estrategias de diálogo y concertación intersectorial y multisectorial para el manejo de los conflictos socioambientales priorizados</t>
  </si>
  <si>
    <t># de estrategias de dialogo y concertación implementadas</t>
  </si>
  <si>
    <t>PROYECTO 3.2.3</t>
  </si>
  <si>
    <t>Acciones ambientales diferenciales</t>
  </si>
  <si>
    <t>3.2.3.1</t>
  </si>
  <si>
    <t xml:space="preserve">Ejecutar acciones priorizadas en la agenda ambiental Indígena, los acuerdos de consulta previa y los compromisos de sentencias </t>
  </si>
  <si>
    <t>% de ejecución agenda concertada</t>
  </si>
  <si>
    <t>3.2.3.2</t>
  </si>
  <si>
    <t>Ejecutar acciones priorizadas en la agenda ambiental NARP</t>
  </si>
  <si>
    <t>3.2.3.3</t>
  </si>
  <si>
    <t>Acompañar e implementar procesos para la formulación de planes, programas y acciones con enfoque de género y diferencial.</t>
  </si>
  <si>
    <t># de procesos acompañados con enfoque de género y diferencial (Personas con discapacidad)</t>
  </si>
  <si>
    <t>RECURSOS DEL CAPITAL</t>
  </si>
  <si>
    <t>Transferencias del Sector Electrico</t>
  </si>
  <si>
    <t>Rendimientos Financieros</t>
  </si>
  <si>
    <t>Cantidad (2025)</t>
  </si>
  <si>
    <t>Inversión $ (2025) 
Asignado</t>
  </si>
  <si>
    <t>Cantidad (2026)</t>
  </si>
  <si>
    <t>Inversión $ (2026) Asignado</t>
  </si>
  <si>
    <t>Cantidad(2027)</t>
  </si>
  <si>
    <t>Inversión $(2027)  
Asignado</t>
  </si>
  <si>
    <t>Disponilbe</t>
  </si>
  <si>
    <t>Saldo</t>
  </si>
  <si>
    <t>Asignado</t>
  </si>
  <si>
    <t>Cantidad (2024-2027)</t>
  </si>
  <si>
    <t xml:space="preserve">Inversión $(2024-2027)  
</t>
  </si>
  <si>
    <t>PAC 2024-2027</t>
  </si>
  <si>
    <t>TOTAL</t>
  </si>
  <si>
    <t>Mantener el reconocimiento y categorización del grupo de investigación de Corpocaldas frente a MinCiencias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</si>
</sst>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_-* #,##0_-;\-* #,##0_-;_-* &quot;-&quot;??_-;_-@_-"/>
    <numFmt numFmtId="167" formatCode="_(* #,##0_);_(* \(#,##0\);_(* &quot;-&quot;??_);_(@_)"/>
    <numFmt numFmtId="168" formatCode="_([$$-409]* #,##0_);_([$$-409]* \(#,##0\);_([$$-409]* &quot;-&quot;??_);_(@_)"/>
  </numFmts>
  <fonts count="3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Aptos Narrow"/>
    </font>
    <font>
      <sz val="11"/>
      <color rgb="FF000000"/>
      <name val="Aptos Narrow"/>
      <family val="2"/>
    </font>
    <font>
      <sz val="11"/>
      <color rgb="FF000000"/>
      <name val="Aptos Narrow"/>
      <charset val="1"/>
    </font>
    <font>
      <sz val="10"/>
      <color theme="1"/>
      <name val="Calibri"/>
      <scheme val="minor"/>
    </font>
    <font>
      <b/>
      <sz val="10"/>
      <name val="Calibri"/>
      <scheme val="minor"/>
    </font>
    <font>
      <b/>
      <sz val="10"/>
      <color theme="0"/>
      <name val="Calibri"/>
      <scheme val="minor"/>
    </font>
    <font>
      <sz val="10"/>
      <name val="Calibri"/>
      <scheme val="minor"/>
    </font>
    <font>
      <sz val="10"/>
      <color rgb="FF000000"/>
      <name val="Calibri"/>
      <scheme val="minor"/>
    </font>
    <font>
      <b/>
      <sz val="10"/>
      <color theme="1"/>
      <name val="Calibri"/>
      <scheme val="minor"/>
    </font>
    <font>
      <sz val="10"/>
      <color theme="0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</font>
    <font>
      <sz val="10"/>
      <color rgb="FF000000"/>
      <name val="Calibri"/>
      <charset val="1"/>
    </font>
    <font>
      <b/>
      <sz val="10"/>
      <color rgb="FF000000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"/>
      <scheme val="minor"/>
    </font>
    <font>
      <sz val="10"/>
      <color rgb="FF000000"/>
      <name val="Calibri"/>
      <family val="2"/>
      <scheme val="minor"/>
    </font>
    <font>
      <sz val="10"/>
      <name val="Calibri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6FAC4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" fillId="0" borderId="0"/>
  </cellStyleXfs>
  <cellXfs count="373">
    <xf numFmtId="0" fontId="0" fillId="0" borderId="0" xfId="0"/>
    <xf numFmtId="0" fontId="7" fillId="0" borderId="11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6" fontId="7" fillId="0" borderId="11" xfId="1" applyNumberFormat="1" applyFont="1" applyBorder="1" applyAlignment="1">
      <alignment horizontal="right"/>
    </xf>
    <xf numFmtId="166" fontId="8" fillId="0" borderId="11" xfId="1" applyNumberFormat="1" applyFont="1" applyBorder="1" applyAlignment="1">
      <alignment horizontal="right"/>
    </xf>
    <xf numFmtId="166" fontId="7" fillId="0" borderId="11" xfId="1" applyNumberFormat="1" applyFont="1" applyBorder="1" applyAlignment="1">
      <alignment wrapText="1"/>
    </xf>
    <xf numFmtId="0" fontId="9" fillId="0" borderId="0" xfId="0" applyFont="1" applyAlignment="1">
      <alignment horizontal="right" vertical="center"/>
    </xf>
    <xf numFmtId="166" fontId="7" fillId="0" borderId="11" xfId="1" applyNumberFormat="1" applyFont="1" applyBorder="1"/>
    <xf numFmtId="0" fontId="7" fillId="0" borderId="11" xfId="0" applyFont="1" applyBorder="1"/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166" fontId="10" fillId="0" borderId="11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 readingOrder="1"/>
    </xf>
    <xf numFmtId="0" fontId="12" fillId="10" borderId="11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0" fillId="10" borderId="0" xfId="0" applyFont="1" applyFill="1" applyAlignment="1">
      <alignment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/>
    </xf>
    <xf numFmtId="0" fontId="15" fillId="12" borderId="11" xfId="0" applyFont="1" applyFill="1" applyBorder="1" applyAlignment="1">
      <alignment horizontal="center" vertical="center"/>
    </xf>
    <xf numFmtId="0" fontId="15" fillId="12" borderId="11" xfId="0" applyFont="1" applyFill="1" applyBorder="1" applyAlignment="1">
      <alignment horizontal="center" vertical="center" wrapText="1"/>
    </xf>
    <xf numFmtId="166" fontId="15" fillId="12" borderId="11" xfId="1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166" fontId="15" fillId="0" borderId="11" xfId="1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right" vertical="center"/>
    </xf>
    <xf numFmtId="0" fontId="14" fillId="0" borderId="11" xfId="0" applyFont="1" applyBorder="1" applyAlignment="1">
      <alignment vertical="center"/>
    </xf>
    <xf numFmtId="0" fontId="15" fillId="12" borderId="16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66" fontId="17" fillId="0" borderId="0" xfId="1" applyNumberFormat="1" applyFont="1" applyAlignment="1">
      <alignment horizontal="center" vertical="center"/>
    </xf>
    <xf numFmtId="166" fontId="17" fillId="0" borderId="0" xfId="0" applyNumberFormat="1" applyFont="1"/>
    <xf numFmtId="0" fontId="17" fillId="0" borderId="11" xfId="0" applyFont="1" applyBorder="1"/>
    <xf numFmtId="166" fontId="17" fillId="0" borderId="11" xfId="1" applyNumberFormat="1" applyFont="1" applyBorder="1" applyAlignment="1">
      <alignment horizontal="center" vertical="center"/>
    </xf>
    <xf numFmtId="0" fontId="18" fillId="11" borderId="1" xfId="2" applyFont="1" applyFill="1" applyBorder="1" applyAlignment="1">
      <alignment wrapText="1"/>
    </xf>
    <xf numFmtId="49" fontId="19" fillId="0" borderId="14" xfId="2" applyNumberFormat="1" applyFont="1" applyBorder="1" applyAlignment="1">
      <alignment wrapText="1"/>
    </xf>
    <xf numFmtId="166" fontId="20" fillId="2" borderId="11" xfId="1" applyNumberFormat="1" applyFont="1" applyFill="1" applyBorder="1" applyAlignment="1">
      <alignment horizontal="center" vertical="center"/>
    </xf>
    <xf numFmtId="167" fontId="18" fillId="3" borderId="15" xfId="1" applyNumberFormat="1" applyFont="1" applyFill="1" applyBorder="1"/>
    <xf numFmtId="167" fontId="19" fillId="5" borderId="14" xfId="1" applyNumberFormat="1" applyFont="1" applyFill="1" applyBorder="1"/>
    <xf numFmtId="166" fontId="20" fillId="4" borderId="11" xfId="1" applyNumberFormat="1" applyFont="1" applyFill="1" applyBorder="1" applyAlignment="1">
      <alignment horizontal="center" vertical="center"/>
    </xf>
    <xf numFmtId="167" fontId="18" fillId="3" borderId="0" xfId="1" applyNumberFormat="1" applyFont="1" applyFill="1" applyBorder="1"/>
    <xf numFmtId="167" fontId="18" fillId="3" borderId="11" xfId="1" applyNumberFormat="1" applyFont="1" applyFill="1" applyBorder="1"/>
    <xf numFmtId="0" fontId="18" fillId="9" borderId="1" xfId="0" applyFont="1" applyFill="1" applyBorder="1" applyAlignment="1">
      <alignment horizontal="center" vertical="center"/>
    </xf>
    <xf numFmtId="0" fontId="17" fillId="9" borderId="0" xfId="0" applyFont="1" applyFill="1"/>
    <xf numFmtId="0" fontId="22" fillId="9" borderId="0" xfId="0" applyFont="1" applyFill="1" applyAlignment="1">
      <alignment horizontal="center" vertical="center" readingOrder="1"/>
    </xf>
    <xf numFmtId="166" fontId="17" fillId="9" borderId="11" xfId="1" applyNumberFormat="1" applyFont="1" applyFill="1" applyBorder="1" applyAlignment="1">
      <alignment horizontal="center" vertical="center"/>
    </xf>
    <xf numFmtId="166" fontId="17" fillId="9" borderId="13" xfId="1" applyNumberFormat="1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7" fillId="10" borderId="0" xfId="0" applyFont="1" applyFill="1" applyAlignment="1">
      <alignment vertical="center"/>
    </xf>
    <xf numFmtId="0" fontId="22" fillId="10" borderId="0" xfId="0" applyFont="1" applyFill="1" applyAlignment="1">
      <alignment horizontal="center" vertical="center"/>
    </xf>
    <xf numFmtId="166" fontId="17" fillId="10" borderId="11" xfId="1" applyNumberFormat="1" applyFont="1" applyFill="1" applyBorder="1" applyAlignment="1">
      <alignment horizontal="center" vertical="center"/>
    </xf>
    <xf numFmtId="166" fontId="17" fillId="10" borderId="13" xfId="1" applyNumberFormat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7" borderId="0" xfId="0" applyFont="1" applyFill="1"/>
    <xf numFmtId="0" fontId="17" fillId="7" borderId="0" xfId="0" applyFont="1" applyFill="1" applyAlignment="1">
      <alignment horizontal="center" vertical="center"/>
    </xf>
    <xf numFmtId="166" fontId="17" fillId="7" borderId="11" xfId="1" applyNumberFormat="1" applyFont="1" applyFill="1" applyBorder="1" applyAlignment="1">
      <alignment horizontal="center" vertical="center"/>
    </xf>
    <xf numFmtId="166" fontId="17" fillId="7" borderId="13" xfId="1" applyNumberFormat="1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10" xfId="0" applyFont="1" applyFill="1" applyBorder="1" applyAlignment="1">
      <alignment horizontal="center" vertical="center" wrapText="1"/>
    </xf>
    <xf numFmtId="166" fontId="20" fillId="12" borderId="10" xfId="1" applyNumberFormat="1" applyFont="1" applyFill="1" applyBorder="1" applyAlignment="1">
      <alignment horizontal="center" vertical="center" wrapText="1"/>
    </xf>
    <xf numFmtId="0" fontId="17" fillId="12" borderId="0" xfId="0" applyFont="1" applyFill="1"/>
    <xf numFmtId="0" fontId="17" fillId="12" borderId="1" xfId="0" applyFont="1" applyFill="1" applyBorder="1"/>
    <xf numFmtId="0" fontId="17" fillId="12" borderId="2" xfId="0" applyFont="1" applyFill="1" applyBorder="1"/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166" fontId="20" fillId="0" borderId="11" xfId="1" applyNumberFormat="1" applyFont="1" applyFill="1" applyBorder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/>
    </xf>
    <xf numFmtId="0" fontId="17" fillId="0" borderId="1" xfId="0" applyFont="1" applyBorder="1"/>
    <xf numFmtId="0" fontId="17" fillId="0" borderId="2" xfId="0" applyFont="1" applyBorder="1"/>
    <xf numFmtId="166" fontId="17" fillId="0" borderId="1" xfId="1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/>
    </xf>
    <xf numFmtId="166" fontId="22" fillId="0" borderId="11" xfId="1" applyNumberFormat="1" applyFont="1" applyBorder="1" applyAlignment="1">
      <alignment horizontal="right"/>
    </xf>
    <xf numFmtId="166" fontId="22" fillId="0" borderId="1" xfId="1" applyNumberFormat="1" applyFont="1" applyBorder="1" applyAlignment="1">
      <alignment wrapText="1"/>
    </xf>
    <xf numFmtId="166" fontId="22" fillId="0" borderId="1" xfId="1" applyNumberFormat="1" applyFont="1" applyBorder="1"/>
    <xf numFmtId="0" fontId="17" fillId="0" borderId="9" xfId="0" applyFont="1" applyBorder="1" applyAlignment="1">
      <alignment horizontal="right" vertical="center"/>
    </xf>
    <xf numFmtId="166" fontId="17" fillId="0" borderId="0" xfId="1" applyNumberFormat="1" applyFont="1" applyBorder="1" applyAlignment="1">
      <alignment horizontal="center" vertical="center"/>
    </xf>
    <xf numFmtId="0" fontId="20" fillId="7" borderId="0" xfId="0" applyFont="1" applyFill="1"/>
    <xf numFmtId="0" fontId="20" fillId="7" borderId="0" xfId="0" applyFont="1" applyFill="1" applyAlignment="1">
      <alignment horizontal="right" vertical="center"/>
    </xf>
    <xf numFmtId="166" fontId="20" fillId="7" borderId="0" xfId="1" applyNumberFormat="1" applyFont="1" applyFill="1" applyAlignment="1">
      <alignment horizontal="right" vertical="center"/>
    </xf>
    <xf numFmtId="166" fontId="20" fillId="7" borderId="11" xfId="1" applyNumberFormat="1" applyFont="1" applyFill="1" applyBorder="1" applyAlignment="1">
      <alignment horizontal="center" vertical="center"/>
    </xf>
    <xf numFmtId="166" fontId="20" fillId="7" borderId="11" xfId="1" applyNumberFormat="1" applyFont="1" applyFill="1" applyBorder="1" applyAlignment="1">
      <alignment horizontal="right" vertical="center"/>
    </xf>
    <xf numFmtId="166" fontId="20" fillId="12" borderId="11" xfId="1" applyNumberFormat="1" applyFont="1" applyFill="1" applyBorder="1" applyAlignment="1">
      <alignment horizontal="center" vertical="center"/>
    </xf>
    <xf numFmtId="166" fontId="20" fillId="12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166" fontId="17" fillId="0" borderId="1" xfId="1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166" fontId="17" fillId="0" borderId="5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166" fontId="17" fillId="0" borderId="11" xfId="1" applyNumberFormat="1" applyFont="1" applyFill="1" applyBorder="1" applyAlignment="1">
      <alignment horizontal="center" vertical="center" wrapText="1"/>
    </xf>
    <xf numFmtId="0" fontId="17" fillId="0" borderId="13" xfId="0" applyFont="1" applyBorder="1"/>
    <xf numFmtId="0" fontId="17" fillId="0" borderId="18" xfId="0" applyFont="1" applyBorder="1"/>
    <xf numFmtId="0" fontId="20" fillId="7" borderId="0" xfId="0" applyFont="1" applyFill="1" applyAlignment="1">
      <alignment horizontal="center" vertical="center"/>
    </xf>
    <xf numFmtId="166" fontId="20" fillId="7" borderId="0" xfId="1" applyNumberFormat="1" applyFont="1" applyFill="1" applyAlignment="1">
      <alignment horizontal="center" vertical="center"/>
    </xf>
    <xf numFmtId="0" fontId="22" fillId="0" borderId="0" xfId="0" applyFont="1"/>
    <xf numFmtId="166" fontId="17" fillId="10" borderId="0" xfId="1" applyNumberFormat="1" applyFont="1" applyFill="1" applyAlignment="1">
      <alignment horizontal="center" vertical="center"/>
    </xf>
    <xf numFmtId="166" fontId="20" fillId="10" borderId="11" xfId="1" applyNumberFormat="1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166" fontId="17" fillId="9" borderId="0" xfId="1" applyNumberFormat="1" applyFont="1" applyFill="1" applyAlignment="1">
      <alignment horizontal="center" vertical="center"/>
    </xf>
    <xf numFmtId="166" fontId="20" fillId="14" borderId="11" xfId="1" applyNumberFormat="1" applyFont="1" applyFill="1" applyBorder="1" applyAlignment="1">
      <alignment horizontal="center" vertical="center"/>
    </xf>
    <xf numFmtId="166" fontId="17" fillId="7" borderId="0" xfId="1" applyNumberFormat="1" applyFont="1" applyFill="1" applyAlignment="1">
      <alignment horizontal="center" vertical="center"/>
    </xf>
    <xf numFmtId="166" fontId="17" fillId="0" borderId="1" xfId="1" applyNumberFormat="1" applyFont="1" applyBorder="1" applyAlignment="1">
      <alignment vertical="center"/>
    </xf>
    <xf numFmtId="166" fontId="17" fillId="0" borderId="1" xfId="1" applyNumberFormat="1" applyFont="1" applyFill="1" applyBorder="1"/>
    <xf numFmtId="166" fontId="17" fillId="0" borderId="1" xfId="1" applyNumberFormat="1" applyFont="1" applyBorder="1"/>
    <xf numFmtId="166" fontId="22" fillId="0" borderId="1" xfId="1" applyNumberFormat="1" applyFont="1" applyBorder="1" applyAlignment="1">
      <alignment horizontal="center" vertical="center"/>
    </xf>
    <xf numFmtId="166" fontId="25" fillId="4" borderId="11" xfId="1" applyNumberFormat="1" applyFont="1" applyFill="1" applyBorder="1" applyAlignment="1">
      <alignment horizontal="center" vertical="center"/>
    </xf>
    <xf numFmtId="0" fontId="22" fillId="0" borderId="1" xfId="0" applyFont="1" applyBorder="1"/>
    <xf numFmtId="0" fontId="22" fillId="0" borderId="2" xfId="0" applyFont="1" applyBorder="1"/>
    <xf numFmtId="0" fontId="22" fillId="0" borderId="11" xfId="0" applyFont="1" applyBorder="1"/>
    <xf numFmtId="0" fontId="17" fillId="0" borderId="1" xfId="0" applyFont="1" applyBorder="1" applyAlignment="1">
      <alignment horizontal="right"/>
    </xf>
    <xf numFmtId="166" fontId="17" fillId="0" borderId="0" xfId="1" applyNumberFormat="1" applyFont="1" applyFill="1" applyBorder="1"/>
    <xf numFmtId="0" fontId="17" fillId="0" borderId="11" xfId="0" applyFont="1" applyBorder="1" applyAlignment="1">
      <alignment horizontal="right"/>
    </xf>
    <xf numFmtId="166" fontId="17" fillId="0" borderId="5" xfId="1" applyNumberFormat="1" applyFont="1" applyBorder="1"/>
    <xf numFmtId="0" fontId="17" fillId="0" borderId="5" xfId="0" applyFont="1" applyBorder="1"/>
    <xf numFmtId="0" fontId="17" fillId="0" borderId="8" xfId="0" applyFont="1" applyBorder="1"/>
    <xf numFmtId="0" fontId="22" fillId="0" borderId="11" xfId="0" applyFont="1" applyBorder="1" applyAlignment="1">
      <alignment vertical="center"/>
    </xf>
    <xf numFmtId="166" fontId="22" fillId="0" borderId="11" xfId="1" applyNumberFormat="1" applyFont="1" applyBorder="1" applyAlignment="1">
      <alignment vertical="center"/>
    </xf>
    <xf numFmtId="166" fontId="20" fillId="14" borderId="13" xfId="1" applyNumberFormat="1" applyFont="1" applyFill="1" applyBorder="1" applyAlignment="1">
      <alignment horizontal="center" vertical="center"/>
    </xf>
    <xf numFmtId="166" fontId="20" fillId="10" borderId="13" xfId="1" applyNumberFormat="1" applyFont="1" applyFill="1" applyBorder="1" applyAlignment="1">
      <alignment horizontal="center" vertical="center"/>
    </xf>
    <xf numFmtId="166" fontId="20" fillId="7" borderId="13" xfId="1" applyNumberFormat="1" applyFont="1" applyFill="1" applyBorder="1" applyAlignment="1">
      <alignment horizontal="center" vertical="center"/>
    </xf>
    <xf numFmtId="166" fontId="20" fillId="12" borderId="9" xfId="1" applyNumberFormat="1" applyFont="1" applyFill="1" applyBorder="1" applyAlignment="1">
      <alignment horizontal="center" vertical="center" wrapText="1"/>
    </xf>
    <xf numFmtId="0" fontId="17" fillId="12" borderId="9" xfId="0" applyFont="1" applyFill="1" applyBorder="1" applyAlignment="1">
      <alignment vertical="center"/>
    </xf>
    <xf numFmtId="0" fontId="17" fillId="12" borderId="9" xfId="0" applyFont="1" applyFill="1" applyBorder="1"/>
    <xf numFmtId="0" fontId="17" fillId="12" borderId="6" xfId="0" applyFont="1" applyFill="1" applyBorder="1"/>
    <xf numFmtId="166" fontId="17" fillId="7" borderId="1" xfId="1" applyNumberFormat="1" applyFont="1" applyFill="1" applyBorder="1" applyAlignment="1">
      <alignment horizontal="center" vertical="center"/>
    </xf>
    <xf numFmtId="166" fontId="17" fillId="7" borderId="2" xfId="1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6" fontId="22" fillId="0" borderId="1" xfId="1" applyNumberFormat="1" applyFont="1" applyBorder="1" applyAlignment="1">
      <alignment vertical="center"/>
    </xf>
    <xf numFmtId="166" fontId="22" fillId="0" borderId="1" xfId="1" applyNumberFormat="1" applyFont="1" applyBorder="1" applyAlignment="1">
      <alignment horizontal="right" vertical="center"/>
    </xf>
    <xf numFmtId="0" fontId="24" fillId="0" borderId="12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4" fillId="0" borderId="12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166" fontId="22" fillId="0" borderId="11" xfId="1" applyNumberFormat="1" applyFont="1" applyBorder="1" applyAlignment="1">
      <alignment horizontal="center" vertical="center"/>
    </xf>
    <xf numFmtId="166" fontId="22" fillId="0" borderId="0" xfId="1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vertical="center"/>
    </xf>
    <xf numFmtId="167" fontId="19" fillId="5" borderId="19" xfId="1" applyNumberFormat="1" applyFont="1" applyFill="1" applyBorder="1"/>
    <xf numFmtId="0" fontId="17" fillId="0" borderId="16" xfId="0" applyFont="1" applyBorder="1"/>
    <xf numFmtId="0" fontId="25" fillId="12" borderId="1" xfId="0" applyFont="1" applyFill="1" applyBorder="1" applyAlignment="1">
      <alignment horizontal="center" vertical="center" wrapText="1"/>
    </xf>
    <xf numFmtId="0" fontId="25" fillId="12" borderId="10" xfId="0" applyFont="1" applyFill="1" applyBorder="1" applyAlignment="1">
      <alignment horizontal="center" vertical="center" wrapText="1"/>
    </xf>
    <xf numFmtId="166" fontId="25" fillId="12" borderId="10" xfId="1" applyNumberFormat="1" applyFont="1" applyFill="1" applyBorder="1" applyAlignment="1">
      <alignment horizontal="center" vertical="center" wrapText="1"/>
    </xf>
    <xf numFmtId="0" fontId="22" fillId="12" borderId="0" xfId="0" applyFont="1" applyFill="1"/>
    <xf numFmtId="0" fontId="22" fillId="12" borderId="2" xfId="0" applyFont="1" applyFill="1" applyBorder="1"/>
    <xf numFmtId="0" fontId="22" fillId="12" borderId="11" xfId="0" applyFont="1" applyFill="1" applyBorder="1"/>
    <xf numFmtId="166" fontId="25" fillId="12" borderId="1" xfId="1" applyNumberFormat="1" applyFont="1" applyFill="1" applyBorder="1" applyAlignment="1">
      <alignment horizontal="center" vertical="center" wrapText="1"/>
    </xf>
    <xf numFmtId="0" fontId="22" fillId="12" borderId="1" xfId="0" applyFont="1" applyFill="1" applyBorder="1"/>
    <xf numFmtId="0" fontId="22" fillId="12" borderId="1" xfId="0" applyFont="1" applyFill="1" applyBorder="1" applyAlignment="1">
      <alignment vertical="center"/>
    </xf>
    <xf numFmtId="0" fontId="17" fillId="2" borderId="0" xfId="0" applyFont="1" applyFill="1"/>
    <xf numFmtId="0" fontId="22" fillId="0" borderId="1" xfId="0" applyFont="1" applyBorder="1" applyAlignment="1">
      <alignment horizontal="right" vertical="center"/>
    </xf>
    <xf numFmtId="166" fontId="20" fillId="13" borderId="11" xfId="1" applyNumberFormat="1" applyFont="1" applyFill="1" applyBorder="1" applyAlignment="1">
      <alignment horizontal="center" vertical="center"/>
    </xf>
    <xf numFmtId="167" fontId="19" fillId="5" borderId="20" xfId="1" applyNumberFormat="1" applyFont="1" applyFill="1" applyBorder="1"/>
    <xf numFmtId="0" fontId="26" fillId="0" borderId="4" xfId="0" applyFont="1" applyBorder="1" applyAlignment="1">
      <alignment horizontal="right" vertical="center"/>
    </xf>
    <xf numFmtId="166" fontId="20" fillId="0" borderId="16" xfId="1" applyNumberFormat="1" applyFont="1" applyFill="1" applyBorder="1" applyAlignment="1">
      <alignment horizontal="center" vertical="center"/>
    </xf>
    <xf numFmtId="166" fontId="17" fillId="0" borderId="5" xfId="1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166" fontId="20" fillId="7" borderId="17" xfId="1" applyNumberFormat="1" applyFont="1" applyFill="1" applyBorder="1" applyAlignment="1">
      <alignment horizontal="center" vertical="center"/>
    </xf>
    <xf numFmtId="167" fontId="10" fillId="0" borderId="0" xfId="1" applyNumberFormat="1" applyFont="1" applyAlignment="1">
      <alignment horizontal="center" vertical="center"/>
    </xf>
    <xf numFmtId="167" fontId="11" fillId="0" borderId="1" xfId="2" applyNumberFormat="1" applyFont="1" applyBorder="1" applyAlignment="1">
      <alignment horizontal="center" vertical="center" wrapText="1"/>
    </xf>
    <xf numFmtId="167" fontId="10" fillId="9" borderId="11" xfId="1" applyNumberFormat="1" applyFont="1" applyFill="1" applyBorder="1" applyAlignment="1">
      <alignment horizontal="center" vertical="center"/>
    </xf>
    <xf numFmtId="167" fontId="10" fillId="10" borderId="11" xfId="1" applyNumberFormat="1" applyFont="1" applyFill="1" applyBorder="1" applyAlignment="1">
      <alignment horizontal="center" vertical="center"/>
    </xf>
    <xf numFmtId="167" fontId="10" fillId="7" borderId="11" xfId="1" applyNumberFormat="1" applyFont="1" applyFill="1" applyBorder="1" applyAlignment="1">
      <alignment horizontal="center" vertical="center"/>
    </xf>
    <xf numFmtId="167" fontId="15" fillId="7" borderId="11" xfId="1" applyNumberFormat="1" applyFont="1" applyFill="1" applyBorder="1" applyAlignment="1">
      <alignment horizontal="center" vertical="center"/>
    </xf>
    <xf numFmtId="167" fontId="10" fillId="0" borderId="11" xfId="0" applyNumberFormat="1" applyFont="1" applyBorder="1" applyAlignment="1">
      <alignment vertical="center"/>
    </xf>
    <xf numFmtId="167" fontId="10" fillId="12" borderId="11" xfId="0" applyNumberFormat="1" applyFont="1" applyFill="1" applyBorder="1" applyAlignment="1">
      <alignment vertical="center"/>
    </xf>
    <xf numFmtId="167" fontId="10" fillId="4" borderId="0" xfId="1" applyNumberFormat="1" applyFont="1" applyFill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7" fontId="12" fillId="11" borderId="1" xfId="2" applyNumberFormat="1" applyFont="1" applyFill="1" applyBorder="1" applyAlignment="1">
      <alignment horizontal="center" vertical="center" wrapText="1"/>
    </xf>
    <xf numFmtId="167" fontId="11" fillId="0" borderId="2" xfId="2" applyNumberFormat="1" applyFont="1" applyBorder="1" applyAlignment="1">
      <alignment horizontal="center" vertical="center" wrapText="1"/>
    </xf>
    <xf numFmtId="167" fontId="15" fillId="2" borderId="11" xfId="1" applyNumberFormat="1" applyFont="1" applyFill="1" applyBorder="1" applyAlignment="1">
      <alignment horizontal="center" vertical="center"/>
    </xf>
    <xf numFmtId="167" fontId="15" fillId="4" borderId="11" xfId="1" applyNumberFormat="1" applyFont="1" applyFill="1" applyBorder="1" applyAlignment="1">
      <alignment horizontal="center" vertical="center"/>
    </xf>
    <xf numFmtId="167" fontId="10" fillId="9" borderId="13" xfId="1" applyNumberFormat="1" applyFont="1" applyFill="1" applyBorder="1" applyAlignment="1">
      <alignment horizontal="center" vertical="center"/>
    </xf>
    <xf numFmtId="167" fontId="10" fillId="10" borderId="13" xfId="1" applyNumberFormat="1" applyFont="1" applyFill="1" applyBorder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167" fontId="10" fillId="7" borderId="13" xfId="1" applyNumberFormat="1" applyFont="1" applyFill="1" applyBorder="1" applyAlignment="1">
      <alignment horizontal="center" vertical="center"/>
    </xf>
    <xf numFmtId="167" fontId="15" fillId="12" borderId="11" xfId="1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/>
    </xf>
    <xf numFmtId="167" fontId="15" fillId="7" borderId="13" xfId="1" applyNumberFormat="1" applyFont="1" applyFill="1" applyBorder="1" applyAlignment="1">
      <alignment horizontal="center" vertical="center"/>
    </xf>
    <xf numFmtId="167" fontId="15" fillId="0" borderId="18" xfId="1" applyNumberFormat="1" applyFont="1" applyFill="1" applyBorder="1" applyAlignment="1">
      <alignment horizontal="center" vertical="center"/>
    </xf>
    <xf numFmtId="167" fontId="15" fillId="0" borderId="11" xfId="1" applyNumberFormat="1" applyFont="1" applyFill="1" applyBorder="1" applyAlignment="1">
      <alignment horizontal="center" vertical="center"/>
    </xf>
    <xf numFmtId="167" fontId="10" fillId="0" borderId="11" xfId="1" applyNumberFormat="1" applyFont="1" applyFill="1" applyBorder="1" applyAlignment="1">
      <alignment horizontal="center" vertical="center" wrapText="1"/>
    </xf>
    <xf numFmtId="167" fontId="15" fillId="0" borderId="11" xfId="1" applyNumberFormat="1" applyFont="1" applyFill="1" applyBorder="1" applyAlignment="1">
      <alignment horizontal="center" vertical="center" wrapText="1"/>
    </xf>
    <xf numFmtId="167" fontId="14" fillId="0" borderId="11" xfId="1" applyNumberFormat="1" applyFont="1" applyBorder="1" applyAlignment="1">
      <alignment vertical="center"/>
    </xf>
    <xf numFmtId="167" fontId="11" fillId="2" borderId="1" xfId="2" applyNumberFormat="1" applyFont="1" applyFill="1" applyBorder="1" applyAlignment="1">
      <alignment horizontal="center" vertical="center" wrapText="1"/>
    </xf>
    <xf numFmtId="167" fontId="11" fillId="2" borderId="2" xfId="2" applyNumberFormat="1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right" vertical="center"/>
    </xf>
    <xf numFmtId="167" fontId="10" fillId="6" borderId="11" xfId="0" applyNumberFormat="1" applyFont="1" applyFill="1" applyBorder="1" applyAlignment="1">
      <alignment vertical="center"/>
    </xf>
    <xf numFmtId="0" fontId="7" fillId="6" borderId="11" xfId="0" applyFont="1" applyFill="1" applyBorder="1" applyAlignment="1">
      <alignment horizontal="right" wrapText="1"/>
    </xf>
    <xf numFmtId="0" fontId="8" fillId="6" borderId="11" xfId="0" applyFont="1" applyFill="1" applyBorder="1" applyAlignment="1">
      <alignment horizontal="right"/>
    </xf>
    <xf numFmtId="167" fontId="12" fillId="11" borderId="1" xfId="2" applyNumberFormat="1" applyFont="1" applyFill="1" applyBorder="1" applyAlignment="1">
      <alignment vertical="center" wrapText="1"/>
    </xf>
    <xf numFmtId="167" fontId="11" fillId="5" borderId="1" xfId="1" applyNumberFormat="1" applyFont="1" applyFill="1" applyBorder="1" applyAlignment="1">
      <alignment vertical="center"/>
    </xf>
    <xf numFmtId="167" fontId="11" fillId="5" borderId="2" xfId="1" applyNumberFormat="1" applyFont="1" applyFill="1" applyBorder="1" applyAlignment="1">
      <alignment vertical="center"/>
    </xf>
    <xf numFmtId="167" fontId="12" fillId="3" borderId="0" xfId="1" applyNumberFormat="1" applyFont="1" applyFill="1" applyBorder="1" applyAlignment="1">
      <alignment vertical="center"/>
    </xf>
    <xf numFmtId="0" fontId="10" fillId="9" borderId="0" xfId="0" applyFont="1" applyFill="1" applyAlignment="1">
      <alignment vertical="center"/>
    </xf>
    <xf numFmtId="0" fontId="10" fillId="7" borderId="0" xfId="0" applyFont="1" applyFill="1" applyAlignment="1">
      <alignment vertical="center"/>
    </xf>
    <xf numFmtId="167" fontId="10" fillId="12" borderId="13" xfId="0" applyNumberFormat="1" applyFont="1" applyFill="1" applyBorder="1" applyAlignment="1">
      <alignment vertical="center"/>
    </xf>
    <xf numFmtId="0" fontId="10" fillId="12" borderId="0" xfId="0" applyFont="1" applyFill="1" applyAlignment="1">
      <alignment vertical="center"/>
    </xf>
    <xf numFmtId="167" fontId="10" fillId="0" borderId="13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7" borderId="0" xfId="0" applyFont="1" applyFill="1" applyAlignment="1">
      <alignment vertical="center"/>
    </xf>
    <xf numFmtId="167" fontId="15" fillId="0" borderId="0" xfId="0" applyNumberFormat="1" applyFont="1" applyAlignment="1">
      <alignment vertical="center"/>
    </xf>
    <xf numFmtId="167" fontId="10" fillId="0" borderId="11" xfId="1" applyNumberFormat="1" applyFont="1" applyFill="1" applyBorder="1" applyAlignment="1">
      <alignment vertical="center"/>
    </xf>
    <xf numFmtId="167" fontId="10" fillId="6" borderId="13" xfId="0" applyNumberFormat="1" applyFont="1" applyFill="1" applyBorder="1" applyAlignment="1">
      <alignment vertical="center"/>
    </xf>
    <xf numFmtId="0" fontId="15" fillId="12" borderId="1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8" fontId="0" fillId="0" borderId="0" xfId="0" applyNumberFormat="1" applyAlignment="1">
      <alignment vertical="center"/>
    </xf>
    <xf numFmtId="168" fontId="0" fillId="9" borderId="11" xfId="0" applyNumberFormat="1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168" fontId="0" fillId="17" borderId="11" xfId="0" applyNumberFormat="1" applyFill="1" applyBorder="1" applyAlignment="1">
      <alignment vertical="center"/>
    </xf>
    <xf numFmtId="0" fontId="0" fillId="17" borderId="11" xfId="0" applyFill="1" applyBorder="1" applyAlignment="1">
      <alignment vertical="center"/>
    </xf>
    <xf numFmtId="168" fontId="0" fillId="7" borderId="11" xfId="0" applyNumberFormat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168" fontId="0" fillId="0" borderId="11" xfId="0" applyNumberFormat="1" applyBorder="1" applyAlignment="1">
      <alignment vertical="center"/>
    </xf>
    <xf numFmtId="168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8" fontId="10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vertical="center"/>
    </xf>
    <xf numFmtId="168" fontId="15" fillId="0" borderId="0" xfId="0" applyNumberFormat="1" applyFont="1" applyAlignment="1">
      <alignment horizontal="center" vertical="center"/>
    </xf>
    <xf numFmtId="168" fontId="15" fillId="0" borderId="0" xfId="0" applyNumberFormat="1" applyFont="1" applyAlignment="1">
      <alignment vertical="center"/>
    </xf>
    <xf numFmtId="168" fontId="15" fillId="0" borderId="0" xfId="1" applyNumberFormat="1" applyFont="1" applyAlignment="1">
      <alignment horizontal="center" vertical="center"/>
    </xf>
    <xf numFmtId="168" fontId="15" fillId="4" borderId="0" xfId="1" applyNumberFormat="1" applyFont="1" applyFill="1" applyAlignment="1">
      <alignment horizontal="center" vertical="center"/>
    </xf>
    <xf numFmtId="168" fontId="15" fillId="0" borderId="0" xfId="1" applyNumberFormat="1" applyFont="1" applyFill="1" applyAlignment="1">
      <alignment horizontal="center" vertical="center"/>
    </xf>
    <xf numFmtId="164" fontId="20" fillId="0" borderId="0" xfId="1" applyNumberFormat="1" applyFont="1" applyAlignment="1">
      <alignment horizontal="center" vertical="center"/>
    </xf>
    <xf numFmtId="168" fontId="15" fillId="6" borderId="0" xfId="1" applyNumberFormat="1" applyFont="1" applyFill="1" applyAlignment="1">
      <alignment horizontal="center" vertical="center"/>
    </xf>
    <xf numFmtId="0" fontId="10" fillId="6" borderId="1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right" vertical="center" wrapText="1"/>
    </xf>
    <xf numFmtId="0" fontId="17" fillId="6" borderId="5" xfId="0" applyFont="1" applyFill="1" applyBorder="1" applyAlignment="1">
      <alignment horizontal="right" vertical="center"/>
    </xf>
    <xf numFmtId="166" fontId="17" fillId="0" borderId="0" xfId="1" applyNumberFormat="1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right" vertical="center" wrapText="1"/>
    </xf>
    <xf numFmtId="166" fontId="17" fillId="0" borderId="16" xfId="1" applyNumberFormat="1" applyFont="1" applyFill="1" applyBorder="1" applyAlignment="1">
      <alignment horizontal="center" vertical="center" wrapText="1"/>
    </xf>
    <xf numFmtId="0" fontId="17" fillId="0" borderId="22" xfId="0" applyFont="1" applyBorder="1"/>
    <xf numFmtId="0" fontId="17" fillId="0" borderId="16" xfId="0" applyFont="1" applyBorder="1" applyAlignment="1">
      <alignment horizontal="right" vertical="center" wrapText="1"/>
    </xf>
    <xf numFmtId="0" fontId="17" fillId="6" borderId="1" xfId="0" applyFont="1" applyFill="1" applyBorder="1" applyAlignment="1">
      <alignment horizontal="right" vertical="center"/>
    </xf>
    <xf numFmtId="166" fontId="17" fillId="7" borderId="17" xfId="1" applyNumberFormat="1" applyFont="1" applyFill="1" applyBorder="1" applyAlignment="1">
      <alignment horizontal="center" vertical="center"/>
    </xf>
    <xf numFmtId="166" fontId="17" fillId="0" borderId="11" xfId="1" applyNumberFormat="1" applyFont="1" applyFill="1" applyBorder="1"/>
    <xf numFmtId="166" fontId="20" fillId="4" borderId="13" xfId="1" applyNumberFormat="1" applyFont="1" applyFill="1" applyBorder="1" applyAlignment="1">
      <alignment horizontal="center" vertical="center"/>
    </xf>
    <xf numFmtId="166" fontId="17" fillId="6" borderId="1" xfId="1" applyNumberFormat="1" applyFont="1" applyFill="1" applyBorder="1" applyAlignment="1">
      <alignment horizontal="center" vertical="center"/>
    </xf>
    <xf numFmtId="166" fontId="25" fillId="12" borderId="11" xfId="1" applyNumberFormat="1" applyFont="1" applyFill="1" applyBorder="1" applyAlignment="1">
      <alignment horizontal="center" vertical="center" wrapText="1"/>
    </xf>
    <xf numFmtId="166" fontId="17" fillId="0" borderId="11" xfId="1" applyNumberFormat="1" applyFont="1" applyBorder="1" applyAlignment="1">
      <alignment horizontal="center" vertical="center" wrapText="1"/>
    </xf>
    <xf numFmtId="0" fontId="22" fillId="12" borderId="4" xfId="0" applyFont="1" applyFill="1" applyBorder="1"/>
    <xf numFmtId="0" fontId="17" fillId="0" borderId="4" xfId="0" applyFont="1" applyBorder="1"/>
    <xf numFmtId="166" fontId="17" fillId="0" borderId="9" xfId="1" applyNumberFormat="1" applyFont="1" applyBorder="1" applyAlignment="1">
      <alignment horizontal="center" vertical="center" wrapText="1"/>
    </xf>
    <xf numFmtId="0" fontId="17" fillId="0" borderId="9" xfId="0" applyFont="1" applyBorder="1"/>
    <xf numFmtId="0" fontId="17" fillId="0" borderId="17" xfId="0" applyFont="1" applyBorder="1"/>
    <xf numFmtId="0" fontId="17" fillId="0" borderId="23" xfId="0" applyFont="1" applyBorder="1"/>
    <xf numFmtId="167" fontId="15" fillId="6" borderId="11" xfId="1" applyNumberFormat="1" applyFont="1" applyFill="1" applyBorder="1" applyAlignment="1">
      <alignment horizontal="center" vertical="center" wrapText="1"/>
    </xf>
    <xf numFmtId="167" fontId="30" fillId="7" borderId="11" xfId="1" applyNumberFormat="1" applyFont="1" applyFill="1" applyBorder="1" applyAlignment="1">
      <alignment horizontal="center" vertical="center"/>
    </xf>
    <xf numFmtId="167" fontId="29" fillId="4" borderId="11" xfId="1" applyNumberFormat="1" applyFont="1" applyFill="1" applyBorder="1" applyAlignment="1">
      <alignment horizontal="center" vertical="center"/>
    </xf>
    <xf numFmtId="167" fontId="29" fillId="7" borderId="11" xfId="1" applyNumberFormat="1" applyFont="1" applyFill="1" applyBorder="1" applyAlignment="1">
      <alignment horizontal="center" vertical="center"/>
    </xf>
    <xf numFmtId="0" fontId="7" fillId="6" borderId="11" xfId="0" applyFont="1" applyFill="1" applyBorder="1"/>
    <xf numFmtId="0" fontId="17" fillId="6" borderId="1" xfId="0" applyFont="1" applyFill="1" applyBorder="1" applyAlignment="1">
      <alignment vertical="center"/>
    </xf>
    <xf numFmtId="0" fontId="17" fillId="6" borderId="1" xfId="0" applyFont="1" applyFill="1" applyBorder="1"/>
    <xf numFmtId="0" fontId="17" fillId="6" borderId="2" xfId="0" applyFont="1" applyFill="1" applyBorder="1"/>
    <xf numFmtId="0" fontId="17" fillId="6" borderId="11" xfId="0" applyFont="1" applyFill="1" applyBorder="1"/>
    <xf numFmtId="0" fontId="17" fillId="6" borderId="0" xfId="0" applyFont="1" applyFill="1"/>
    <xf numFmtId="0" fontId="13" fillId="6" borderId="11" xfId="0" applyFont="1" applyFill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166" fontId="23" fillId="0" borderId="0" xfId="1" applyNumberFormat="1" applyFont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right" vertical="center"/>
    </xf>
    <xf numFmtId="0" fontId="17" fillId="0" borderId="0" xfId="0" applyFont="1" applyAlignment="1">
      <alignment horizontal="right"/>
    </xf>
    <xf numFmtId="165" fontId="24" fillId="0" borderId="12" xfId="0" applyNumberFormat="1" applyFont="1" applyBorder="1" applyAlignment="1">
      <alignment vertical="center"/>
    </xf>
    <xf numFmtId="167" fontId="11" fillId="18" borderId="1" xfId="1" applyNumberFormat="1" applyFont="1" applyFill="1" applyBorder="1" applyAlignment="1">
      <alignment vertical="center"/>
    </xf>
    <xf numFmtId="167" fontId="11" fillId="18" borderId="2" xfId="1" applyNumberFormat="1" applyFont="1" applyFill="1" applyBorder="1" applyAlignment="1">
      <alignment vertical="center"/>
    </xf>
    <xf numFmtId="168" fontId="28" fillId="0" borderId="0" xfId="1" applyNumberFormat="1" applyFont="1" applyFill="1" applyAlignment="1">
      <alignment horizontal="center" vertical="center"/>
    </xf>
    <xf numFmtId="168" fontId="34" fillId="0" borderId="0" xfId="1" applyNumberFormat="1" applyFont="1" applyFill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right"/>
    </xf>
    <xf numFmtId="168" fontId="0" fillId="9" borderId="13" xfId="0" applyNumberFormat="1" applyFill="1" applyBorder="1" applyAlignment="1">
      <alignment vertical="center"/>
    </xf>
    <xf numFmtId="168" fontId="0" fillId="17" borderId="13" xfId="0" applyNumberFormat="1" applyFill="1" applyBorder="1" applyAlignment="1">
      <alignment vertical="center"/>
    </xf>
    <xf numFmtId="168" fontId="0" fillId="7" borderId="13" xfId="0" applyNumberFormat="1" applyFill="1" applyBorder="1" applyAlignment="1">
      <alignment vertical="center"/>
    </xf>
    <xf numFmtId="0" fontId="15" fillId="12" borderId="13" xfId="0" applyFont="1" applyFill="1" applyBorder="1" applyAlignment="1">
      <alignment horizontal="center" vertical="center" wrapText="1"/>
    </xf>
    <xf numFmtId="168" fontId="0" fillId="0" borderId="13" xfId="0" applyNumberFormat="1" applyBorder="1" applyAlignment="1">
      <alignment vertical="center"/>
    </xf>
    <xf numFmtId="0" fontId="35" fillId="16" borderId="1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 wrapText="1"/>
    </xf>
    <xf numFmtId="168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168" fontId="0" fillId="0" borderId="22" xfId="0" applyNumberFormat="1" applyBorder="1" applyAlignment="1">
      <alignment vertical="center"/>
    </xf>
    <xf numFmtId="168" fontId="0" fillId="16" borderId="11" xfId="0" applyNumberFormat="1" applyFill="1" applyBorder="1" applyAlignment="1">
      <alignment vertical="center"/>
    </xf>
    <xf numFmtId="0" fontId="0" fillId="16" borderId="11" xfId="0" applyFill="1" applyBorder="1" applyAlignment="1">
      <alignment vertical="center"/>
    </xf>
    <xf numFmtId="1" fontId="36" fillId="0" borderId="1" xfId="0" applyNumberFormat="1" applyFont="1" applyBorder="1" applyAlignment="1">
      <alignment vertical="center"/>
    </xf>
    <xf numFmtId="1" fontId="35" fillId="12" borderId="1" xfId="0" applyNumberFormat="1" applyFont="1" applyFill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right" vertical="center"/>
    </xf>
    <xf numFmtId="167" fontId="10" fillId="0" borderId="21" xfId="0" applyNumberFormat="1" applyFont="1" applyBorder="1" applyAlignment="1">
      <alignment vertical="center"/>
    </xf>
    <xf numFmtId="0" fontId="14" fillId="0" borderId="11" xfId="0" applyFont="1" applyBorder="1" applyAlignment="1">
      <alignment horizontal="right" vertical="center" wrapText="1"/>
    </xf>
    <xf numFmtId="167" fontId="14" fillId="0" borderId="11" xfId="1" applyNumberFormat="1" applyFont="1" applyFill="1" applyBorder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167" fontId="14" fillId="0" borderId="11" xfId="1" applyNumberFormat="1" applyFont="1" applyFill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167" fontId="27" fillId="0" borderId="0" xfId="0" applyNumberFormat="1" applyFont="1" applyAlignment="1">
      <alignment vertical="center"/>
    </xf>
    <xf numFmtId="0" fontId="33" fillId="0" borderId="11" xfId="0" applyFont="1" applyBorder="1" applyAlignment="1">
      <alignment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167" fontId="10" fillId="0" borderId="11" xfId="0" applyNumberFormat="1" applyFont="1" applyBorder="1" applyAlignment="1">
      <alignment horizontal="center" vertical="center"/>
    </xf>
    <xf numFmtId="167" fontId="14" fillId="0" borderId="11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67" fontId="14" fillId="0" borderId="0" xfId="0" applyNumberFormat="1" applyFont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167" fontId="14" fillId="0" borderId="11" xfId="1" applyNumberFormat="1" applyFont="1" applyFill="1" applyBorder="1" applyAlignment="1">
      <alignment horizontal="center" vertical="center"/>
    </xf>
    <xf numFmtId="167" fontId="14" fillId="0" borderId="1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30" fillId="0" borderId="11" xfId="0" applyFont="1" applyBorder="1" applyAlignment="1">
      <alignment horizontal="left" vertical="center" wrapText="1"/>
    </xf>
    <xf numFmtId="167" fontId="14" fillId="0" borderId="11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32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17" fillId="0" borderId="11" xfId="0" applyFont="1" applyBorder="1" applyAlignment="1">
      <alignment horizontal="right" vertical="center" wrapText="1"/>
    </xf>
    <xf numFmtId="0" fontId="22" fillId="0" borderId="11" xfId="0" applyFont="1" applyBorder="1" applyAlignment="1">
      <alignment vertical="center" wrapText="1"/>
    </xf>
    <xf numFmtId="0" fontId="18" fillId="11" borderId="2" xfId="2" applyFont="1" applyFill="1" applyBorder="1" applyAlignment="1">
      <alignment wrapText="1"/>
    </xf>
    <xf numFmtId="167" fontId="18" fillId="3" borderId="24" xfId="1" applyNumberFormat="1" applyFont="1" applyFill="1" applyBorder="1"/>
    <xf numFmtId="166" fontId="17" fillId="9" borderId="17" xfId="1" applyNumberFormat="1" applyFont="1" applyFill="1" applyBorder="1" applyAlignment="1">
      <alignment horizontal="center" vertical="center"/>
    </xf>
    <xf numFmtId="166" fontId="17" fillId="9" borderId="25" xfId="1" applyNumberFormat="1" applyFont="1" applyFill="1" applyBorder="1" applyAlignment="1">
      <alignment horizontal="center" vertical="center"/>
    </xf>
    <xf numFmtId="164" fontId="20" fillId="9" borderId="1" xfId="1" applyNumberFormat="1" applyFont="1" applyFill="1" applyBorder="1" applyAlignment="1">
      <alignment horizontal="center" vertical="center"/>
    </xf>
    <xf numFmtId="49" fontId="19" fillId="0" borderId="1" xfId="2" applyNumberFormat="1" applyFont="1" applyBorder="1" applyAlignment="1">
      <alignment wrapText="1"/>
    </xf>
    <xf numFmtId="167" fontId="19" fillId="5" borderId="1" xfId="1" applyNumberFormat="1" applyFont="1" applyFill="1" applyBorder="1"/>
    <xf numFmtId="167" fontId="18" fillId="3" borderId="1" xfId="1" applyNumberFormat="1" applyFont="1" applyFill="1" applyBorder="1"/>
    <xf numFmtId="166" fontId="17" fillId="7" borderId="16" xfId="1" applyNumberFormat="1" applyFont="1" applyFill="1" applyBorder="1" applyAlignment="1">
      <alignment horizontal="center" vertical="center"/>
    </xf>
    <xf numFmtId="166" fontId="20" fillId="0" borderId="17" xfId="1" applyNumberFormat="1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16" fillId="9" borderId="11" xfId="0" applyFont="1" applyFill="1" applyBorder="1" applyAlignment="1">
      <alignment horizontal="center" vertical="center"/>
    </xf>
    <xf numFmtId="167" fontId="12" fillId="15" borderId="6" xfId="2" applyNumberFormat="1" applyFont="1" applyFill="1" applyBorder="1" applyAlignment="1">
      <alignment horizontal="center" vertical="center" wrapText="1"/>
    </xf>
    <xf numFmtId="167" fontId="12" fillId="15" borderId="7" xfId="2" applyNumberFormat="1" applyFont="1" applyFill="1" applyBorder="1" applyAlignment="1">
      <alignment horizontal="center" vertical="center" wrapText="1"/>
    </xf>
    <xf numFmtId="167" fontId="12" fillId="10" borderId="2" xfId="2" applyNumberFormat="1" applyFont="1" applyFill="1" applyBorder="1" applyAlignment="1">
      <alignment horizontal="center" vertical="center" wrapText="1"/>
    </xf>
    <xf numFmtId="167" fontId="12" fillId="10" borderId="3" xfId="2" applyNumberFormat="1" applyFont="1" applyFill="1" applyBorder="1" applyAlignment="1">
      <alignment horizontal="center" vertical="center" wrapText="1"/>
    </xf>
    <xf numFmtId="167" fontId="12" fillId="10" borderId="4" xfId="2" applyNumberFormat="1" applyFont="1" applyFill="1" applyBorder="1" applyAlignment="1">
      <alignment horizontal="center" vertical="center" wrapText="1"/>
    </xf>
    <xf numFmtId="164" fontId="20" fillId="10" borderId="1" xfId="1" applyNumberFormat="1" applyFont="1" applyFill="1" applyBorder="1" applyAlignment="1">
      <alignment horizontal="center" vertical="center"/>
    </xf>
    <xf numFmtId="164" fontId="20" fillId="9" borderId="1" xfId="1" applyNumberFormat="1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/>
    </xf>
    <xf numFmtId="0" fontId="18" fillId="11" borderId="1" xfId="2" applyFont="1" applyFill="1" applyBorder="1" applyAlignment="1">
      <alignment horizontal="center" wrapText="1"/>
    </xf>
    <xf numFmtId="0" fontId="20" fillId="11" borderId="2" xfId="2" applyFont="1" applyFill="1" applyBorder="1" applyAlignment="1">
      <alignment horizontal="center" wrapText="1"/>
    </xf>
    <xf numFmtId="0" fontId="20" fillId="11" borderId="3" xfId="2" applyFont="1" applyFill="1" applyBorder="1" applyAlignment="1">
      <alignment horizontal="center" wrapText="1"/>
    </xf>
    <xf numFmtId="0" fontId="20" fillId="11" borderId="4" xfId="2" applyFont="1" applyFill="1" applyBorder="1" applyAlignment="1">
      <alignment horizontal="center" wrapText="1"/>
    </xf>
    <xf numFmtId="0" fontId="35" fillId="16" borderId="1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_Hoja2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na Marcela Quintero Velasquez" id="{5FA39379-2891-4E83-A2D2-ECC54C0A1C59}" userId="S::linamquintero@corpocaldas.gov.co::0da1e61a-67b8-49ff-92d2-2d1d6f5ded05" providerId="AD"/>
  <person displayName="Wilford Rincon Arango" id="{DABF41C3-459B-4C9E-A3BF-5CED0E78EFAA}" userId="S::wilfordrincon@corpocaldas.gov.co::ba4b83b6-f92d-4cdc-bbe5-3ef9b60f6ec0" providerId="AD"/>
  <person displayName="Usuario invitado" id="{501F1094-1675-418C-8373-312BC18D732C}" userId="S::urn:spo:anon#0a32d725edbf7407a34ea504cf6a7d175e414d8066c93c0ef6a8ce97f305753c::" providerId="AD"/>
  <person displayName="Usuario invitado" id="{4581332D-813C-4AA2-AFA7-FE922E32A0CD}" userId="S::urn:spo:anon#c4b5e675bee597d2b1801c964e5080a0de26c04d07c0908c19f8190c365ee030::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" dT="2024-04-27T18:55:25.15" personId="{4581332D-813C-4AA2-AFA7-FE922E32A0CD}" id="{58ED41EC-4A77-4C3E-904C-9194D66B4C08}">
    <text>93688600 VivoCuenca</text>
  </threadedComment>
  <threadedComment ref="AZ11" dT="2024-05-29T20:40:40.90" personId="{4581332D-813C-4AA2-AFA7-FE922E32A0CD}" id="{77736727-A18D-421A-8581-F2D813402337}">
    <text>Aporte Isagen convenios microcuencas</text>
  </threadedComment>
  <threadedComment ref="I16" dT="2024-04-19T14:20:06.49" personId="{4581332D-813C-4AA2-AFA7-FE922E32A0CD}" id="{FBD9B4E7-4F75-443C-AF3B-381849D08816}">
    <text>79.854.007
VivoCuenca</text>
  </threadedComment>
  <threadedComment ref="B18" dT="2024-04-16T16:09:58.98" personId="{501F1094-1675-418C-8373-312BC18D732C}" id="{3B934A95-3412-4554-AB55-16772B81E8FC}">
    <text>2.000 Para Manizales</text>
  </threadedComment>
  <threadedComment ref="O18" dT="2024-04-19T14:22:52.37" personId="{4581332D-813C-4AA2-AFA7-FE922E32A0CD}" id="{8DC74260-C057-4605-87AE-879E38962857}">
    <text>3.000 millones para inversión en Manizales</text>
  </threadedComment>
  <threadedComment ref="H19" dT="2024-04-19T13:56:38.32" personId="{4581332D-813C-4AA2-AFA7-FE922E32A0CD}" id="{76EB7EC6-FC35-4F5D-8AFC-BF98FD8B8CC9}">
    <text xml:space="preserve">45.000.000 (sentencia nevados - acciones seguimiento. </text>
  </threadedComment>
  <threadedComment ref="I19" dT="2024-05-18T18:00:54.38" personId="{DABF41C3-459B-4C9E-A3BF-5CED0E78EFAA}" id="{A4A2B660-0371-438D-A114-B149B53DD932}">
    <text>40.000.000 aislamiento Tarcará y el Diamante - plan mejoramiento CGR</text>
  </threadedComment>
  <threadedComment ref="N19" dT="2024-04-19T13:46:40.10" personId="{4581332D-813C-4AA2-AFA7-FE922E32A0CD}" id="{0B67445C-91D2-4FD1-8884-E87585A1643C}">
    <text>150.000.000 Sentencia parque nevados.  
100.000.000 Complejo páramo de Sonsón</text>
  </threadedComment>
  <threadedComment ref="J21" dT="2024-05-20T17:20:32.66" personId="{4581332D-813C-4AA2-AFA7-FE922E32A0CD}" id="{03B439AE-6271-4927-ADD6-DB674DEF7964}">
    <text>30.000.000 Meliponas</text>
  </threadedComment>
  <threadedComment ref="Y21" dT="2024-05-20T17:20:00.69" personId="{4581332D-813C-4AA2-AFA7-FE922E32A0CD}" id="{8C00096F-5963-4D38-8A53-A45ED91692E7}">
    <text>30.000.000 congreso aviturismo</text>
  </threadedComment>
  <threadedComment ref="BB27" dT="2024-04-19T14:30:35.41" personId="{4581332D-813C-4AA2-AFA7-FE922E32A0CD}" id="{121070F9-5A0B-430F-9623-DBF0765D9176}">
    <text>523.000.000 estudio cuenca río Risaralda. Convenio Carder</text>
  </threadedComment>
  <threadedComment ref="H59" dT="2024-05-18T15:12:46.82" personId="{DABF41C3-459B-4C9E-A3BF-5CED0E78EFAA}" id="{24B5A697-061C-4E3D-A6BA-CD73D5748A37}">
    <text>$20.000.000 Aporte Corpocaldas para Convenio Taller COP</text>
  </threadedComment>
  <threadedComment ref="I59" dT="2024-04-19T14:50:56.47" personId="{4581332D-813C-4AA2-AFA7-FE922E32A0CD}" id="{10BB200A-4E58-4B40-A765-6FB86DCADEE7}">
    <text>40.000.000 VvoCuenca</text>
  </threadedComment>
  <threadedComment ref="H69" dT="2024-05-29T21:00:29.87" personId="{4581332D-813C-4AA2-AFA7-FE922E32A0CD}" id="{2F22944C-412D-41E7-9380-C4541760A675}">
    <text>91.000.000 Obras Manizales. 29.565.773 Obras Supia</text>
  </threadedComment>
  <threadedComment ref="I69" dT="2024-04-19T14:11:14.92" personId="{4581332D-813C-4AA2-AFA7-FE922E32A0CD}" id="{A061BDAE-E422-4D98-A6AC-151228052641}">
    <text>100.000.000 Sentencia Sabinas SBN. 30.000.000 Manizales</text>
  </threadedComment>
  <threadedComment ref="I69" dT="2024-06-21T20:41:17.33" personId="{5FA39379-2891-4E83-A2D2-ECC54C0A1C59}" id="{8A747F75-84A2-4A9D-8A29-3B3C0E726516}" parentId="{A061BDAE-E422-4D98-A6AC-151228052641}">
    <text>eliminar 30 millones  100  millones sabinas, lo ejecuta vivocuenca</text>
  </threadedComment>
  <threadedComment ref="J69" dT="2024-05-29T20:12:24.07" personId="{4581332D-813C-4AA2-AFA7-FE922E32A0CD}" id="{2A9877F3-ACDD-49D8-BDDD-92964ACBE808}">
    <text>280.000.000 Obras Norcasia. 270.000.000 Obras Resguardo San Lorenzo.  76.000.000 Obras Supia</text>
  </threadedComment>
  <threadedComment ref="K69" dT="2024-05-29T20:10:47.39" personId="{4581332D-813C-4AA2-AFA7-FE922E32A0CD}" id="{0EEBF159-AFB9-4CCB-A72F-58D2FF97E3B0}">
    <text>50.000.000 Contrapartida Corpocaldas convenio con Isagén (Sub. Infraestructura. 20.000.000 Obras Norcasia</text>
  </threadedComment>
  <threadedComment ref="Y69" dT="2024-05-29T20:25:22.13" personId="{4581332D-813C-4AA2-AFA7-FE922E32A0CD}" id="{9D832D24-C5FF-483A-8953-EB5996E934AD}">
    <text>792.362.151 Obras Manizales</text>
  </threadedComment>
  <threadedComment ref="Z69" dT="2024-05-29T21:03:38.98" personId="{4581332D-813C-4AA2-AFA7-FE922E32A0CD}" id="{B9106227-5FAD-4903-93F3-9080593A3854}">
    <text>29.269.096 Obras Supía</text>
  </threadedComment>
  <threadedComment ref="AD69" dT="2024-05-29T20:13:30.08" personId="{4581332D-813C-4AA2-AFA7-FE922E32A0CD}" id="{5015DF8C-4FBB-4C9C-9B8F-95A586F3A8E5}">
    <text>71.100.000 Obras ;Manizales</text>
  </threadedComment>
  <threadedComment ref="AO69" dT="2024-05-29T20:15:05.96" personId="{4581332D-813C-4AA2-AFA7-FE922E32A0CD}" id="{D575B450-FE14-49AE-8F9C-82D8490BA89F}">
    <text>165.000.000 Obras Manizales</text>
  </threadedComment>
  <threadedComment ref="BA69" dT="2024-04-19T15:12:33.91" personId="{4581332D-813C-4AA2-AFA7-FE922E32A0CD}" id="{3D3AB47B-FFF0-4F7D-AE97-A1945DF54DAC}">
    <text>20.923061 Aporte municipio</text>
  </threadedComment>
  <threadedComment ref="I73" dT="2024-04-19T16:24:24.91" personId="{4581332D-813C-4AA2-AFA7-FE922E32A0CD}" id="{FEBD9667-1DBB-4766-A14F-C9DDF3371DA3}">
    <text>660.000 VivoCuenca</text>
  </threadedComment>
  <threadedComment ref="I74" dT="2024-05-18T14:26:29.40" personId="{DABF41C3-459B-4C9E-A3BF-5CED0E78EFAA}" id="{F46F5283-85F4-4591-AFAE-6E54FD3FC0E7}">
    <text>$ 100.000.000 Guardianas Cameguadua</text>
  </threadedComment>
  <threadedComment ref="J74" dT="2024-05-20T16:13:54.29" personId="{4581332D-813C-4AA2-AFA7-FE922E32A0CD}" id="{8813AAF0-9D93-4836-936E-30DC60B8B652}">
    <text>$70.000.000 Limpieza charca Guarinocito.  $ 29.952.774 Humedales la Dorada</text>
  </threadedComment>
  <threadedComment ref="AE74" dT="2024-05-20T16:12:08.22" personId="{4581332D-813C-4AA2-AFA7-FE922E32A0CD}" id="{EA7463BC-7194-42DA-A150-5501F82E8D3D}">
    <text>$23.871.272 Humedales la Dorada</text>
  </threadedComment>
  <threadedComment ref="AP74" dT="2024-05-20T16:12:32.11" personId="{4581332D-813C-4AA2-AFA7-FE922E32A0CD}" id="{E00DEEF2-FEAA-4C4B-8C06-5E302631B692}">
    <text>$ 36.175.954 Humedales la Dorada</text>
  </threadedComment>
  <threadedComment ref="I94" dT="2024-04-19T16:56:24.31" personId="{4581332D-813C-4AA2-AFA7-FE922E32A0CD}" id="{4709CDF1-7B8B-42FF-84F6-FFE18A51E57D}">
    <text>2.500.000 VivoCuenca</text>
  </threadedComment>
  <threadedComment ref="I114" dT="2024-04-26T02:01:20.49" personId="{4581332D-813C-4AA2-AFA7-FE922E32A0CD}" id="{4A58CD70-5565-44DE-AE0C-374EED7902A9}">
    <text>20.000.000 VivoCuenca</text>
  </threadedComment>
  <threadedComment ref="H128" dT="2024-05-21T19:56:10.27" personId="{DABF41C3-459B-4C9E-A3BF-5CED0E78EFAA}" id="{FC267893-D090-4D94-9DAC-B040D466D722}">
    <text>18.000.000 sentencia páramo sonson</text>
  </threadedComment>
  <threadedComment ref="J128" dT="2024-05-20T17:12:50.86" personId="{4581332D-813C-4AA2-AFA7-FE922E32A0CD}" id="{5200360A-9091-4F83-B938-50D35774AFE0}">
    <text>$ 12.985.292 Educación páramo Sonsón</text>
  </threadedComment>
  <threadedComment ref="Z128" dT="2024-05-20T17:03:53.80" personId="{4581332D-813C-4AA2-AFA7-FE922E32A0CD}" id="{C8192B2D-8BBF-4DE1-A02A-2DE5F071C125}">
    <text>$50.000.000 Sentencia Charca. Educación</text>
  </threadedComment>
  <threadedComment ref="I132" dT="2024-04-19T16:57:57.89" personId="{4581332D-813C-4AA2-AFA7-FE922E32A0CD}" id="{3E8B867F-C521-4063-A307-FEAA54429500}">
    <text>21.337.184 VivoCuenca</text>
  </threadedComment>
  <threadedComment ref="H137" dT="2024-05-18T16:01:18.31" personId="{DABF41C3-459B-4C9E-A3BF-5CED0E78EFAA}" id="{58AF9C4B-94A8-4F57-BAA6-0B99C0A10651}">
    <text>$30.000.000 contratación enlace</text>
  </threadedComment>
  <threadedComment ref="X137" dT="2024-05-21T20:11:34.88" personId="{DABF41C3-459B-4C9E-A3BF-5CED0E78EFAA}" id="{6E0D240E-D75C-4D4A-960A-695E260FC088}">
    <text>63422167 Aporte Minambiente Convenio</text>
  </threadedComment>
  <threadedComment ref="H138" dT="2024-05-18T16:01:45.43" personId="{DABF41C3-459B-4C9E-A3BF-5CED0E78EFAA}" id="{F5176EFA-7B9E-45C9-9702-CD1324873561}">
    <text>30.000.000 Contratación enlace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6" dT="2024-04-27T18:28:52.32" personId="{4581332D-813C-4AA2-AFA7-FE922E32A0CD}" id="{52ADE254-DA70-4DBE-83DF-8D51704F14BF}">
    <text>50000000 VivoCuenca</text>
  </threadedComment>
  <threadedComment ref="H21" dT="2024-04-27T19:10:58.10" personId="{4581332D-813C-4AA2-AFA7-FE922E32A0CD}" id="{B9375157-8C00-466C-A0EF-C31DC70E5D1F}">
    <text>30.000.000 Meliponas.  50.000.000 aviturismo</text>
  </threadedComment>
  <threadedComment ref="I21" dT="2024-04-27T19:11:32.49" personId="{4581332D-813C-4AA2-AFA7-FE922E32A0CD}" id="{63A4EE7E-20B8-4849-9844-3BBD061A34A2}">
    <text>200000000. Estufas</text>
  </threadedComment>
  <threadedComment ref="B32" dT="2024-04-29T20:14:47.61" personId="{4581332D-813C-4AA2-AFA7-FE922E32A0CD}" id="{14D09EFC-5B07-48C0-B9B5-08A6D3672C0B}">
    <text>cambia. Inicia Fase I (2026) Fase II (2027)</text>
  </threadedComment>
  <threadedComment ref="B39" dT="2024-04-05T17:23:48.30" personId="{5FA39379-2891-4E83-A2D2-ECC54C0A1C59}" id="{6AE3FAAB-2ABE-4357-967A-EAE53B029360}">
    <text xml:space="preserve">Se sugiere cambiar unidad de medida 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16" dT="2024-04-27T18:29:32.53" personId="{4581332D-813C-4AA2-AFA7-FE922E32A0CD}" id="{08C32AC7-0AAE-43D4-9AC4-838ECFC9D4B0}">
    <text>120.000.000 VivoCuenca</text>
  </threadedComment>
  <threadedComment ref="H21" dT="2024-04-27T19:12:58.88" personId="{4581332D-813C-4AA2-AFA7-FE922E32A0CD}" id="{552D28C1-F8F2-4D1F-BA82-8D6F4585D761}">
    <text>50.000.000 Meliponas. 100.000.000 Aviturismo</text>
  </threadedComment>
  <threadedComment ref="I21" dT="2024-04-27T19:13:32.78" personId="{4581332D-813C-4AA2-AFA7-FE922E32A0CD}" id="{F6F56C2A-061A-444E-A96A-D3C976BEB1BE}">
    <text>200.000.000 estufas</text>
  </threadedComment>
  <threadedComment ref="B32" dT="2024-04-29T20:14:47.61" personId="{4581332D-813C-4AA2-AFA7-FE922E32A0CD}" id="{00895F2B-303A-4C67-9EFB-7ABA11BB1F33}">
    <text>cambia. Inicia Fase I (2026) Fase II (2027)</text>
  </threadedComment>
  <threadedComment ref="B39" dT="2024-04-05T17:23:48.30" personId="{5FA39379-2891-4E83-A2D2-ECC54C0A1C59}" id="{E6DF729C-DFC1-4994-8D7A-439DF9A74EDB}">
    <text xml:space="preserve">Se sugiere cambiar unidad de medida 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16" dT="2024-04-27T18:30:03.67" personId="{4581332D-813C-4AA2-AFA7-FE922E32A0CD}" id="{08250F49-092B-4F85-9AA0-FCD8497AEBBD}">
    <text>120.000.000 VivoCuenca</text>
  </threadedComment>
  <threadedComment ref="H21" dT="2024-04-27T19:14:36.54" personId="{4581332D-813C-4AA2-AFA7-FE922E32A0CD}" id="{63F01746-5018-4298-BBE3-DF30A758F528}">
    <text>50.000.000 Meliponas. 100.000.000 aviturismo</text>
  </threadedComment>
  <threadedComment ref="B32" dT="2024-04-29T20:14:47.61" personId="{4581332D-813C-4AA2-AFA7-FE922E32A0CD}" id="{C1443498-7960-4C1D-AB8D-4E367953EE17}">
    <text>cambia. Inicia Fase I (2026) Fase II (2027)</text>
  </threadedComment>
  <threadedComment ref="B39" dT="2024-04-05T17:23:48.30" personId="{5FA39379-2891-4E83-A2D2-ECC54C0A1C59}" id="{9A0C117A-BA17-41B5-BCC5-80BB6F585C91}">
    <text xml:space="preserve">Se sugiere cambiar unidad de medida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39"/>
  <sheetViews>
    <sheetView tabSelected="1" topLeftCell="A114" zoomScale="70" zoomScaleNormal="70" workbookViewId="0">
      <selection activeCell="B121" sqref="B121"/>
    </sheetView>
  </sheetViews>
  <sheetFormatPr baseColWidth="10" defaultColWidth="11" defaultRowHeight="15.75" customHeight="1" x14ac:dyDescent="0.25"/>
  <cols>
    <col min="1" max="1" width="19.5" style="9" bestFit="1" customWidth="1"/>
    <col min="2" max="2" width="62.125" style="13" bestFit="1" customWidth="1"/>
    <col min="3" max="3" width="15.625" style="13" bestFit="1" customWidth="1"/>
    <col min="4" max="4" width="31.75" style="13" bestFit="1" customWidth="1"/>
    <col min="5" max="5" width="11.125" style="9" bestFit="1" customWidth="1"/>
    <col min="6" max="6" width="22.125" style="181" bestFit="1" customWidth="1"/>
    <col min="7" max="7" width="22.125" style="173" bestFit="1" customWidth="1"/>
    <col min="8" max="8" width="20.5" style="189" bestFit="1" customWidth="1"/>
    <col min="9" max="9" width="17" style="189" bestFit="1" customWidth="1"/>
    <col min="10" max="10" width="17" style="189" customWidth="1"/>
    <col min="11" max="11" width="17" style="189" bestFit="1" customWidth="1"/>
    <col min="12" max="12" width="16.5" style="189" bestFit="1" customWidth="1"/>
    <col min="13" max="13" width="30.5" style="189" bestFit="1" customWidth="1"/>
    <col min="14" max="14" width="17.25" style="189" bestFit="1" customWidth="1"/>
    <col min="15" max="15" width="18.75" style="189" bestFit="1" customWidth="1"/>
    <col min="16" max="16" width="22.875" style="189" bestFit="1" customWidth="1"/>
    <col min="17" max="17" width="17.5" style="189" bestFit="1" customWidth="1"/>
    <col min="18" max="18" width="15.625" style="189" bestFit="1" customWidth="1"/>
    <col min="19" max="19" width="43.25" style="189" bestFit="1" customWidth="1"/>
    <col min="20" max="22" width="17.25" style="189" bestFit="1" customWidth="1"/>
    <col min="23" max="23" width="16.375" style="189" bestFit="1" customWidth="1"/>
    <col min="24" max="24" width="15.625" style="189" bestFit="1" customWidth="1"/>
    <col min="25" max="25" width="20.5" style="189" bestFit="1" customWidth="1"/>
    <col min="26" max="26" width="17.25" style="189" bestFit="1" customWidth="1"/>
    <col min="27" max="27" width="15.625" style="189" bestFit="1" customWidth="1"/>
    <col min="28" max="28" width="11.875" style="189" bestFit="1" customWidth="1"/>
    <col min="29" max="29" width="17.25" style="189" bestFit="1" customWidth="1"/>
    <col min="30" max="30" width="17" style="189" bestFit="1" customWidth="1"/>
    <col min="31" max="31" width="15.625" style="189" bestFit="1" customWidth="1"/>
    <col min="32" max="32" width="15.375" style="189" bestFit="1" customWidth="1"/>
    <col min="33" max="33" width="15.625" style="189" bestFit="1" customWidth="1"/>
    <col min="34" max="34" width="16.5" style="189" bestFit="1" customWidth="1"/>
    <col min="35" max="36" width="17.25" style="189" bestFit="1" customWidth="1"/>
    <col min="37" max="37" width="24.125" style="189" bestFit="1" customWidth="1"/>
    <col min="38" max="38" width="17" style="189" bestFit="1" customWidth="1"/>
    <col min="39" max="39" width="15.625" style="189" bestFit="1" customWidth="1"/>
    <col min="40" max="40" width="16.5" style="189" bestFit="1" customWidth="1"/>
    <col min="41" max="41" width="20.5" style="189" bestFit="1" customWidth="1"/>
    <col min="42" max="42" width="22.375" style="189" bestFit="1" customWidth="1"/>
    <col min="43" max="43" width="17" style="189" bestFit="1" customWidth="1"/>
    <col min="44" max="44" width="16.75" style="189" bestFit="1" customWidth="1"/>
    <col min="45" max="45" width="17" style="189" bestFit="1" customWidth="1"/>
    <col min="46" max="46" width="33.25" style="189" bestFit="1" customWidth="1"/>
    <col min="47" max="48" width="21.5" style="189" bestFit="1" customWidth="1"/>
    <col min="49" max="50" width="21.25" style="189" bestFit="1" customWidth="1"/>
    <col min="51" max="51" width="30.75" style="189" bestFit="1" customWidth="1"/>
    <col min="52" max="52" width="23.625" style="189" bestFit="1" customWidth="1"/>
    <col min="53" max="53" width="26.375" style="189" bestFit="1" customWidth="1"/>
    <col min="54" max="54" width="17.25" style="189" bestFit="1" customWidth="1"/>
    <col min="55" max="57" width="11" style="189"/>
    <col min="58" max="58" width="14.125" style="189" bestFit="1" customWidth="1"/>
    <col min="59" max="63" width="11" style="189"/>
    <col min="64" max="16384" width="11" style="13"/>
  </cols>
  <sheetData>
    <row r="1" spans="1:75" ht="7.5" customHeight="1" x14ac:dyDescent="0.25"/>
    <row r="2" spans="1:75" s="240" customFormat="1" ht="15.75" customHeight="1" x14ac:dyDescent="0.25">
      <c r="A2" s="239"/>
      <c r="E2" s="239"/>
      <c r="F2" s="242">
        <f>+F5-F6</f>
        <v>0</v>
      </c>
      <c r="G2" s="241">
        <f>+G5-G6</f>
        <v>9036717377</v>
      </c>
      <c r="H2" s="289">
        <f t="shared" ref="H2:AT2" si="0">+H5-H6</f>
        <v>0</v>
      </c>
      <c r="I2" s="290">
        <f t="shared" si="0"/>
        <v>0</v>
      </c>
      <c r="J2" s="290">
        <f t="shared" si="0"/>
        <v>0</v>
      </c>
      <c r="K2" s="243">
        <f t="shared" si="0"/>
        <v>0</v>
      </c>
      <c r="L2" s="243">
        <f t="shared" si="0"/>
        <v>0</v>
      </c>
      <c r="M2" s="243">
        <f t="shared" si="0"/>
        <v>0</v>
      </c>
      <c r="N2" s="243">
        <f t="shared" si="0"/>
        <v>0</v>
      </c>
      <c r="O2" s="243">
        <f t="shared" si="0"/>
        <v>0</v>
      </c>
      <c r="P2" s="243">
        <f t="shared" si="0"/>
        <v>0</v>
      </c>
      <c r="Q2" s="241">
        <f t="shared" si="0"/>
        <v>0</v>
      </c>
      <c r="R2" s="241">
        <f t="shared" si="0"/>
        <v>0</v>
      </c>
      <c r="S2" s="243">
        <f>+S5-S6</f>
        <v>0</v>
      </c>
      <c r="T2" s="241">
        <f>+T5-T6</f>
        <v>0</v>
      </c>
      <c r="U2" s="241">
        <f>+U5-U6</f>
        <v>0</v>
      </c>
      <c r="V2" s="241">
        <f>+V5-V6</f>
        <v>0</v>
      </c>
      <c r="W2" s="241">
        <f>+W5-W6</f>
        <v>0</v>
      </c>
      <c r="X2" s="245">
        <f t="shared" si="0"/>
        <v>0</v>
      </c>
      <c r="Y2" s="241">
        <f t="shared" si="0"/>
        <v>0</v>
      </c>
      <c r="Z2" s="241">
        <f t="shared" si="0"/>
        <v>0</v>
      </c>
      <c r="AA2" s="241">
        <f t="shared" si="0"/>
        <v>0</v>
      </c>
      <c r="AB2" s="241">
        <f t="shared" si="0"/>
        <v>0</v>
      </c>
      <c r="AC2" s="243">
        <f t="shared" si="0"/>
        <v>0</v>
      </c>
      <c r="AD2" s="245">
        <f>+AD5-AD6</f>
        <v>0</v>
      </c>
      <c r="AE2" s="241">
        <f t="shared" si="0"/>
        <v>0</v>
      </c>
      <c r="AF2" s="241">
        <f t="shared" si="0"/>
        <v>0</v>
      </c>
      <c r="AG2" s="241">
        <f t="shared" si="0"/>
        <v>0</v>
      </c>
      <c r="AH2" s="241">
        <f t="shared" si="0"/>
        <v>0</v>
      </c>
      <c r="AI2" s="241">
        <f t="shared" si="0"/>
        <v>0</v>
      </c>
      <c r="AJ2" s="241">
        <f t="shared" si="0"/>
        <v>0</v>
      </c>
      <c r="AK2" s="241">
        <f t="shared" si="0"/>
        <v>0</v>
      </c>
      <c r="AL2" s="241">
        <f t="shared" si="0"/>
        <v>0</v>
      </c>
      <c r="AM2" s="241">
        <f t="shared" si="0"/>
        <v>0</v>
      </c>
      <c r="AN2" s="241">
        <f t="shared" si="0"/>
        <v>0</v>
      </c>
      <c r="AO2" s="243">
        <f t="shared" si="0"/>
        <v>0</v>
      </c>
      <c r="AP2" s="243">
        <f t="shared" si="0"/>
        <v>0</v>
      </c>
      <c r="AQ2" s="243">
        <f t="shared" si="0"/>
        <v>0</v>
      </c>
      <c r="AR2" s="243">
        <f t="shared" si="0"/>
        <v>0</v>
      </c>
      <c r="AS2" s="243">
        <f t="shared" si="0"/>
        <v>0</v>
      </c>
      <c r="AT2" s="241">
        <f t="shared" si="0"/>
        <v>0</v>
      </c>
      <c r="AU2" s="241">
        <f t="shared" ref="AU2:BB2" si="1">+AU5-AU6</f>
        <v>0</v>
      </c>
      <c r="AV2" s="241">
        <f t="shared" si="1"/>
        <v>0</v>
      </c>
      <c r="AW2" s="241">
        <f t="shared" si="1"/>
        <v>0</v>
      </c>
      <c r="AX2" s="241">
        <f t="shared" si="1"/>
        <v>0</v>
      </c>
      <c r="AY2" s="241">
        <f t="shared" si="1"/>
        <v>0</v>
      </c>
      <c r="AZ2" s="241">
        <f t="shared" si="1"/>
        <v>0</v>
      </c>
      <c r="BA2" s="241">
        <f t="shared" si="1"/>
        <v>0</v>
      </c>
      <c r="BB2" s="241">
        <f t="shared" si="1"/>
        <v>0</v>
      </c>
    </row>
    <row r="3" spans="1:75" ht="16.5" customHeight="1" x14ac:dyDescent="0.25">
      <c r="D3" s="238"/>
      <c r="G3" s="205" t="s">
        <v>0</v>
      </c>
      <c r="H3" s="360" t="s">
        <v>1</v>
      </c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2"/>
      <c r="Y3" s="358" t="s">
        <v>2</v>
      </c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/>
      <c r="AO3" s="359"/>
      <c r="AP3" s="359"/>
      <c r="AQ3" s="359"/>
      <c r="AR3" s="359"/>
      <c r="AS3" s="359"/>
      <c r="AT3" s="359"/>
      <c r="AU3" s="359"/>
      <c r="AV3" s="359"/>
      <c r="AW3" s="359"/>
      <c r="AX3" s="359"/>
      <c r="AY3" s="359"/>
      <c r="AZ3" s="359"/>
      <c r="BA3" s="359"/>
      <c r="BB3" s="359"/>
    </row>
    <row r="4" spans="1:75" s="9" customFormat="1" ht="39" customHeight="1" x14ac:dyDescent="0.25">
      <c r="D4" s="237"/>
      <c r="E4" s="237"/>
      <c r="F4" s="174" t="s">
        <v>3</v>
      </c>
      <c r="G4" s="183" t="s">
        <v>0</v>
      </c>
      <c r="H4" s="174" t="s">
        <v>4</v>
      </c>
      <c r="I4" s="174" t="s">
        <v>5</v>
      </c>
      <c r="J4" s="174" t="s">
        <v>6</v>
      </c>
      <c r="K4" s="174" t="s">
        <v>7</v>
      </c>
      <c r="L4" s="174" t="s">
        <v>8</v>
      </c>
      <c r="M4" s="174" t="s">
        <v>9</v>
      </c>
      <c r="N4" s="174" t="s">
        <v>10</v>
      </c>
      <c r="O4" s="174" t="s">
        <v>11</v>
      </c>
      <c r="P4" s="174" t="s">
        <v>12</v>
      </c>
      <c r="Q4" s="174" t="s">
        <v>13</v>
      </c>
      <c r="R4" s="184" t="s">
        <v>14</v>
      </c>
      <c r="S4" s="174" t="s">
        <v>15</v>
      </c>
      <c r="T4" s="174" t="s">
        <v>16</v>
      </c>
      <c r="U4" s="174" t="s">
        <v>17</v>
      </c>
      <c r="V4" s="174" t="s">
        <v>18</v>
      </c>
      <c r="W4" s="174" t="s">
        <v>19</v>
      </c>
      <c r="X4" s="174" t="s">
        <v>20</v>
      </c>
      <c r="Y4" s="174" t="s">
        <v>4</v>
      </c>
      <c r="Z4" s="174" t="s">
        <v>21</v>
      </c>
      <c r="AA4" s="174" t="s">
        <v>22</v>
      </c>
      <c r="AB4" s="174" t="s">
        <v>23</v>
      </c>
      <c r="AC4" s="174" t="s">
        <v>24</v>
      </c>
      <c r="AD4" s="174" t="s">
        <v>25</v>
      </c>
      <c r="AE4" s="174" t="s">
        <v>26</v>
      </c>
      <c r="AF4" s="174" t="s">
        <v>27</v>
      </c>
      <c r="AG4" s="174" t="s">
        <v>28</v>
      </c>
      <c r="AH4" s="174" t="s">
        <v>29</v>
      </c>
      <c r="AI4" s="174" t="s">
        <v>30</v>
      </c>
      <c r="AJ4" s="174" t="s">
        <v>31</v>
      </c>
      <c r="AK4" s="174" t="s">
        <v>32</v>
      </c>
      <c r="AL4" s="174" t="s">
        <v>33</v>
      </c>
      <c r="AM4" s="174" t="s">
        <v>34</v>
      </c>
      <c r="AN4" s="174" t="s">
        <v>35</v>
      </c>
      <c r="AO4" s="174" t="s">
        <v>36</v>
      </c>
      <c r="AP4" s="174" t="s">
        <v>37</v>
      </c>
      <c r="AQ4" s="174" t="s">
        <v>38</v>
      </c>
      <c r="AR4" s="174" t="s">
        <v>39</v>
      </c>
      <c r="AS4" s="174" t="s">
        <v>40</v>
      </c>
      <c r="AT4" s="174" t="s">
        <v>41</v>
      </c>
      <c r="AU4" s="174" t="s">
        <v>42</v>
      </c>
      <c r="AV4" s="174" t="s">
        <v>43</v>
      </c>
      <c r="AW4" s="174" t="s">
        <v>44</v>
      </c>
      <c r="AX4" s="174" t="s">
        <v>45</v>
      </c>
      <c r="AY4" s="174" t="s">
        <v>46</v>
      </c>
      <c r="AZ4" s="199" t="s">
        <v>47</v>
      </c>
      <c r="BA4" s="199" t="s">
        <v>48</v>
      </c>
      <c r="BB4" s="200" t="s">
        <v>49</v>
      </c>
      <c r="BC4" s="182"/>
      <c r="BD4" s="182"/>
      <c r="BE4" s="182"/>
      <c r="BF4" s="182"/>
      <c r="BG4" s="182"/>
      <c r="BH4" s="182"/>
      <c r="BI4" s="182"/>
      <c r="BJ4" s="182"/>
      <c r="BK4" s="182"/>
    </row>
    <row r="5" spans="1:75" ht="19.5" customHeight="1" x14ac:dyDescent="0.25">
      <c r="E5" s="14"/>
      <c r="F5" s="185">
        <f>SUM(H5:BB5)</f>
        <v>20043722265</v>
      </c>
      <c r="G5" s="44">
        <v>9036717377</v>
      </c>
      <c r="H5" s="287">
        <v>2819897179</v>
      </c>
      <c r="I5" s="287">
        <v>921500000</v>
      </c>
      <c r="J5" s="287">
        <v>775799519</v>
      </c>
      <c r="K5" s="287">
        <v>150998827</v>
      </c>
      <c r="L5" s="287">
        <v>121100000</v>
      </c>
      <c r="M5" s="287">
        <v>206328685</v>
      </c>
      <c r="N5" s="287">
        <v>884989177</v>
      </c>
      <c r="O5" s="287">
        <v>4771129304</v>
      </c>
      <c r="P5" s="287">
        <v>4500000</v>
      </c>
      <c r="Q5" s="287">
        <v>0</v>
      </c>
      <c r="R5" s="288">
        <v>15600504</v>
      </c>
      <c r="S5" s="287">
        <v>500000</v>
      </c>
      <c r="T5" s="287">
        <v>305345000</v>
      </c>
      <c r="U5" s="287">
        <v>57713000</v>
      </c>
      <c r="V5" s="287">
        <v>240663000</v>
      </c>
      <c r="W5" s="287">
        <v>0</v>
      </c>
      <c r="X5" s="287">
        <v>63422167</v>
      </c>
      <c r="Y5" s="206">
        <f>3353715989-400000000</f>
        <v>2953715989</v>
      </c>
      <c r="Z5" s="206">
        <v>785490524</v>
      </c>
      <c r="AA5" s="206">
        <v>36175954</v>
      </c>
      <c r="AB5" s="206"/>
      <c r="AC5" s="206">
        <v>238267442</v>
      </c>
      <c r="AD5" s="206">
        <v>398841507</v>
      </c>
      <c r="AE5" s="206">
        <v>23871272</v>
      </c>
      <c r="AF5" s="206">
        <v>49301513</v>
      </c>
      <c r="AG5" s="206">
        <v>71630786</v>
      </c>
      <c r="AH5" s="206">
        <v>108901012</v>
      </c>
      <c r="AI5" s="206">
        <v>268927469</v>
      </c>
      <c r="AJ5" s="206">
        <v>770489228</v>
      </c>
      <c r="AK5" s="206">
        <v>14533485</v>
      </c>
      <c r="AL5" s="206">
        <v>397832317</v>
      </c>
      <c r="AM5" s="206">
        <v>22939941</v>
      </c>
      <c r="AN5" s="206"/>
      <c r="AO5" s="206">
        <f>1303810946-300000000</f>
        <v>1003810946</v>
      </c>
      <c r="AP5" s="206">
        <v>270508138</v>
      </c>
      <c r="AQ5" s="206">
        <v>6210000</v>
      </c>
      <c r="AR5" s="206">
        <v>104185675</v>
      </c>
      <c r="AS5" s="206">
        <v>476514780</v>
      </c>
      <c r="AT5" s="206">
        <v>67000979</v>
      </c>
      <c r="AU5" s="206">
        <v>25983778</v>
      </c>
      <c r="AV5" s="206">
        <v>13787675</v>
      </c>
      <c r="AW5" s="206">
        <v>8190377</v>
      </c>
      <c r="AX5" s="206">
        <v>7476633</v>
      </c>
      <c r="AY5" s="206"/>
      <c r="AZ5" s="206">
        <v>35725422</v>
      </c>
      <c r="BA5" s="206">
        <v>20923061</v>
      </c>
      <c r="BB5" s="207">
        <v>523000000</v>
      </c>
    </row>
    <row r="6" spans="1:75" ht="12.75" x14ac:dyDescent="0.25">
      <c r="E6" s="15"/>
      <c r="F6" s="186">
        <f>SUM(H6:BB6)</f>
        <v>20043722265</v>
      </c>
      <c r="G6" s="208">
        <f t="shared" ref="G6:AL6" si="2">+G7+G65+G96</f>
        <v>0</v>
      </c>
      <c r="H6" s="208">
        <f t="shared" si="2"/>
        <v>2819897179</v>
      </c>
      <c r="I6" s="208">
        <f t="shared" si="2"/>
        <v>921500000</v>
      </c>
      <c r="J6" s="208">
        <f t="shared" si="2"/>
        <v>775799519</v>
      </c>
      <c r="K6" s="208">
        <f t="shared" si="2"/>
        <v>150998827</v>
      </c>
      <c r="L6" s="208">
        <f t="shared" si="2"/>
        <v>121100000</v>
      </c>
      <c r="M6" s="208">
        <f t="shared" si="2"/>
        <v>206328685</v>
      </c>
      <c r="N6" s="208">
        <f t="shared" si="2"/>
        <v>884989177</v>
      </c>
      <c r="O6" s="208">
        <f t="shared" si="2"/>
        <v>4771129304</v>
      </c>
      <c r="P6" s="208">
        <f t="shared" si="2"/>
        <v>4500000</v>
      </c>
      <c r="Q6" s="208">
        <f t="shared" si="2"/>
        <v>0</v>
      </c>
      <c r="R6" s="208">
        <f t="shared" si="2"/>
        <v>15600504</v>
      </c>
      <c r="S6" s="208">
        <f t="shared" si="2"/>
        <v>500000</v>
      </c>
      <c r="T6" s="208">
        <f t="shared" si="2"/>
        <v>305345000</v>
      </c>
      <c r="U6" s="208">
        <f t="shared" si="2"/>
        <v>57713000</v>
      </c>
      <c r="V6" s="208">
        <f t="shared" si="2"/>
        <v>240663000</v>
      </c>
      <c r="W6" s="208">
        <f t="shared" si="2"/>
        <v>0</v>
      </c>
      <c r="X6" s="208">
        <f t="shared" si="2"/>
        <v>63422167</v>
      </c>
      <c r="Y6" s="208">
        <f t="shared" si="2"/>
        <v>2953715989</v>
      </c>
      <c r="Z6" s="208">
        <f t="shared" si="2"/>
        <v>785490524</v>
      </c>
      <c r="AA6" s="208">
        <f t="shared" si="2"/>
        <v>36175954</v>
      </c>
      <c r="AB6" s="208">
        <f t="shared" si="2"/>
        <v>0</v>
      </c>
      <c r="AC6" s="208">
        <f t="shared" si="2"/>
        <v>238267442</v>
      </c>
      <c r="AD6" s="208">
        <f t="shared" si="2"/>
        <v>398841507</v>
      </c>
      <c r="AE6" s="208">
        <f t="shared" si="2"/>
        <v>23871272</v>
      </c>
      <c r="AF6" s="208">
        <f t="shared" si="2"/>
        <v>49301513</v>
      </c>
      <c r="AG6" s="208">
        <f t="shared" si="2"/>
        <v>71630786</v>
      </c>
      <c r="AH6" s="208">
        <f t="shared" si="2"/>
        <v>108901012</v>
      </c>
      <c r="AI6" s="208">
        <f t="shared" si="2"/>
        <v>268927469</v>
      </c>
      <c r="AJ6" s="208">
        <f t="shared" si="2"/>
        <v>770489228</v>
      </c>
      <c r="AK6" s="208">
        <f t="shared" si="2"/>
        <v>14533485</v>
      </c>
      <c r="AL6" s="208">
        <f t="shared" si="2"/>
        <v>397832317</v>
      </c>
      <c r="AM6" s="208">
        <f t="shared" ref="AM6:BB6" si="3">+AM7+AM65+AM96</f>
        <v>22939941</v>
      </c>
      <c r="AN6" s="208">
        <f t="shared" si="3"/>
        <v>0</v>
      </c>
      <c r="AO6" s="208">
        <f t="shared" si="3"/>
        <v>1003810946</v>
      </c>
      <c r="AP6" s="208">
        <f t="shared" si="3"/>
        <v>270508138</v>
      </c>
      <c r="AQ6" s="208">
        <f t="shared" si="3"/>
        <v>6210000</v>
      </c>
      <c r="AR6" s="208">
        <f t="shared" si="3"/>
        <v>104185675</v>
      </c>
      <c r="AS6" s="208">
        <f t="shared" si="3"/>
        <v>476514780</v>
      </c>
      <c r="AT6" s="208">
        <f t="shared" si="3"/>
        <v>67000979</v>
      </c>
      <c r="AU6" s="208">
        <f t="shared" si="3"/>
        <v>25983778</v>
      </c>
      <c r="AV6" s="208">
        <f t="shared" si="3"/>
        <v>13787675</v>
      </c>
      <c r="AW6" s="208">
        <f t="shared" si="3"/>
        <v>8190377</v>
      </c>
      <c r="AX6" s="208">
        <f t="shared" si="3"/>
        <v>7476633</v>
      </c>
      <c r="AY6" s="208">
        <f t="shared" si="3"/>
        <v>0</v>
      </c>
      <c r="AZ6" s="208">
        <f t="shared" si="3"/>
        <v>35725422</v>
      </c>
      <c r="BA6" s="208">
        <f t="shared" si="3"/>
        <v>20923061</v>
      </c>
      <c r="BB6" s="208">
        <f t="shared" si="3"/>
        <v>523000000</v>
      </c>
    </row>
    <row r="7" spans="1:75" s="209" customFormat="1" ht="16.5" customHeight="1" x14ac:dyDescent="0.25">
      <c r="A7" s="16" t="s">
        <v>50</v>
      </c>
      <c r="B7" s="16" t="s">
        <v>51</v>
      </c>
      <c r="C7" s="357"/>
      <c r="D7" s="357"/>
      <c r="E7" s="17"/>
      <c r="F7" s="175">
        <f>SUM(H7:BB7)</f>
        <v>11216596699</v>
      </c>
      <c r="G7" s="175">
        <f t="shared" ref="G7:AL7" si="4">G8+G45</f>
        <v>0</v>
      </c>
      <c r="H7" s="175">
        <f t="shared" si="4"/>
        <v>1053393576</v>
      </c>
      <c r="I7" s="175">
        <f t="shared" si="4"/>
        <v>573542607</v>
      </c>
      <c r="J7" s="175">
        <f t="shared" si="4"/>
        <v>30000000</v>
      </c>
      <c r="K7" s="175">
        <f t="shared" si="4"/>
        <v>0</v>
      </c>
      <c r="L7" s="175">
        <f t="shared" si="4"/>
        <v>0</v>
      </c>
      <c r="M7" s="175">
        <f t="shared" si="4"/>
        <v>0</v>
      </c>
      <c r="N7" s="175">
        <f t="shared" si="4"/>
        <v>834989177</v>
      </c>
      <c r="O7" s="175">
        <f t="shared" si="4"/>
        <v>4380306000</v>
      </c>
      <c r="P7" s="175">
        <f t="shared" si="4"/>
        <v>4500000</v>
      </c>
      <c r="Q7" s="175">
        <f t="shared" si="4"/>
        <v>0</v>
      </c>
      <c r="R7" s="175">
        <f t="shared" si="4"/>
        <v>0</v>
      </c>
      <c r="S7" s="175">
        <f t="shared" si="4"/>
        <v>0</v>
      </c>
      <c r="T7" s="175">
        <f t="shared" si="4"/>
        <v>255345000</v>
      </c>
      <c r="U7" s="175">
        <f t="shared" si="4"/>
        <v>7713000</v>
      </c>
      <c r="V7" s="175">
        <f t="shared" si="4"/>
        <v>240663000</v>
      </c>
      <c r="W7" s="175">
        <f t="shared" si="4"/>
        <v>0</v>
      </c>
      <c r="X7" s="175">
        <f t="shared" si="4"/>
        <v>0</v>
      </c>
      <c r="Y7" s="175">
        <f t="shared" si="4"/>
        <v>263462151</v>
      </c>
      <c r="Z7" s="175">
        <f t="shared" si="4"/>
        <v>487072497</v>
      </c>
      <c r="AA7" s="175">
        <f t="shared" si="4"/>
        <v>36175954</v>
      </c>
      <c r="AB7" s="175">
        <f t="shared" si="4"/>
        <v>0</v>
      </c>
      <c r="AC7" s="175">
        <f t="shared" si="4"/>
        <v>200000000</v>
      </c>
      <c r="AD7" s="175">
        <f t="shared" si="4"/>
        <v>132278283</v>
      </c>
      <c r="AE7" s="175">
        <f t="shared" si="4"/>
        <v>0</v>
      </c>
      <c r="AF7" s="175">
        <f t="shared" si="4"/>
        <v>49301513</v>
      </c>
      <c r="AG7" s="175">
        <f t="shared" si="4"/>
        <v>0</v>
      </c>
      <c r="AH7" s="175">
        <f t="shared" si="4"/>
        <v>0</v>
      </c>
      <c r="AI7" s="175">
        <f t="shared" si="4"/>
        <v>268927469</v>
      </c>
      <c r="AJ7" s="175">
        <f t="shared" si="4"/>
        <v>770489228</v>
      </c>
      <c r="AK7" s="175">
        <f t="shared" si="4"/>
        <v>14533485</v>
      </c>
      <c r="AL7" s="175">
        <f t="shared" si="4"/>
        <v>0</v>
      </c>
      <c r="AM7" s="175">
        <f t="shared" ref="AM7:BB7" si="5">AM8+AM45</f>
        <v>0</v>
      </c>
      <c r="AN7" s="175">
        <f t="shared" si="5"/>
        <v>0</v>
      </c>
      <c r="AO7" s="175">
        <f t="shared" si="5"/>
        <v>312183868</v>
      </c>
      <c r="AP7" s="175">
        <f t="shared" si="5"/>
        <v>114332184</v>
      </c>
      <c r="AQ7" s="175">
        <f t="shared" si="5"/>
        <v>0</v>
      </c>
      <c r="AR7" s="175">
        <f t="shared" si="5"/>
        <v>104185675</v>
      </c>
      <c r="AS7" s="175">
        <f t="shared" si="5"/>
        <v>476514780</v>
      </c>
      <c r="AT7" s="175">
        <f t="shared" si="5"/>
        <v>0</v>
      </c>
      <c r="AU7" s="175">
        <f t="shared" si="5"/>
        <v>25983778</v>
      </c>
      <c r="AV7" s="175">
        <f t="shared" si="5"/>
        <v>13787675</v>
      </c>
      <c r="AW7" s="175">
        <f t="shared" si="5"/>
        <v>8190377</v>
      </c>
      <c r="AX7" s="175">
        <f t="shared" si="5"/>
        <v>0</v>
      </c>
      <c r="AY7" s="175">
        <f t="shared" si="5"/>
        <v>0</v>
      </c>
      <c r="AZ7" s="175">
        <f t="shared" si="5"/>
        <v>35725422</v>
      </c>
      <c r="BA7" s="175">
        <f t="shared" si="5"/>
        <v>0</v>
      </c>
      <c r="BB7" s="187">
        <f t="shared" si="5"/>
        <v>523000000</v>
      </c>
      <c r="BC7" s="189"/>
      <c r="BD7" s="189"/>
      <c r="BE7" s="189"/>
      <c r="BF7" s="189"/>
      <c r="BG7" s="189"/>
      <c r="BH7" s="189"/>
      <c r="BI7" s="189"/>
      <c r="BJ7" s="189"/>
      <c r="BK7" s="189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</row>
    <row r="8" spans="1:75" s="20" customFormat="1" ht="21" customHeight="1" x14ac:dyDescent="0.25">
      <c r="A8" s="18" t="s">
        <v>52</v>
      </c>
      <c r="B8" s="18" t="s">
        <v>53</v>
      </c>
      <c r="C8" s="356"/>
      <c r="D8" s="356"/>
      <c r="E8" s="19"/>
      <c r="F8" s="176">
        <f>SUM(H8:BB8)</f>
        <v>10851911299</v>
      </c>
      <c r="G8" s="176">
        <f>+G9+G24+G36</f>
        <v>0</v>
      </c>
      <c r="H8" s="176">
        <f t="shared" ref="H8:X8" si="6">+H9+H24+H36</f>
        <v>778708176</v>
      </c>
      <c r="I8" s="176">
        <f t="shared" ref="I8:L8" si="7">+I9+I24+I36</f>
        <v>533542607</v>
      </c>
      <c r="J8" s="176">
        <f t="shared" si="7"/>
        <v>30000000</v>
      </c>
      <c r="K8" s="176">
        <f t="shared" si="7"/>
        <v>0</v>
      </c>
      <c r="L8" s="176">
        <f t="shared" si="7"/>
        <v>0</v>
      </c>
      <c r="M8" s="176">
        <f t="shared" si="6"/>
        <v>0</v>
      </c>
      <c r="N8" s="176">
        <f t="shared" si="6"/>
        <v>821165131</v>
      </c>
      <c r="O8" s="176">
        <f t="shared" si="6"/>
        <v>4380306000</v>
      </c>
      <c r="P8" s="176">
        <f t="shared" si="6"/>
        <v>4500000</v>
      </c>
      <c r="Q8" s="176">
        <f t="shared" si="6"/>
        <v>0</v>
      </c>
      <c r="R8" s="176">
        <f t="shared" si="6"/>
        <v>0</v>
      </c>
      <c r="S8" s="176">
        <f t="shared" ref="S8:W8" si="8">+S9+S24+S36</f>
        <v>0</v>
      </c>
      <c r="T8" s="176">
        <f t="shared" si="8"/>
        <v>255345000</v>
      </c>
      <c r="U8" s="176">
        <f t="shared" si="8"/>
        <v>7713000</v>
      </c>
      <c r="V8" s="176">
        <f t="shared" si="8"/>
        <v>240663000</v>
      </c>
      <c r="W8" s="176">
        <f t="shared" si="8"/>
        <v>0</v>
      </c>
      <c r="X8" s="176">
        <f t="shared" si="6"/>
        <v>0</v>
      </c>
      <c r="Y8" s="176">
        <f t="shared" ref="Y8:BB8" si="9">+Y9+Y24+Y36</f>
        <v>263462151</v>
      </c>
      <c r="Z8" s="176">
        <f t="shared" si="9"/>
        <v>487072497</v>
      </c>
      <c r="AA8" s="176">
        <f t="shared" si="9"/>
        <v>0</v>
      </c>
      <c r="AB8" s="176">
        <f t="shared" si="9"/>
        <v>0</v>
      </c>
      <c r="AC8" s="176">
        <f t="shared" si="9"/>
        <v>200000000</v>
      </c>
      <c r="AD8" s="176">
        <f>+AD9+AD24+AD36</f>
        <v>132278283</v>
      </c>
      <c r="AE8" s="176">
        <f t="shared" si="9"/>
        <v>0</v>
      </c>
      <c r="AF8" s="176">
        <f t="shared" si="9"/>
        <v>49301513</v>
      </c>
      <c r="AG8" s="176">
        <f t="shared" si="9"/>
        <v>0</v>
      </c>
      <c r="AH8" s="176">
        <f t="shared" si="9"/>
        <v>0</v>
      </c>
      <c r="AI8" s="176">
        <f t="shared" si="9"/>
        <v>268927469</v>
      </c>
      <c r="AJ8" s="176">
        <f t="shared" si="9"/>
        <v>770489228</v>
      </c>
      <c r="AK8" s="176">
        <f t="shared" si="9"/>
        <v>14533485</v>
      </c>
      <c r="AL8" s="176">
        <f t="shared" si="9"/>
        <v>0</v>
      </c>
      <c r="AM8" s="176">
        <f t="shared" si="9"/>
        <v>0</v>
      </c>
      <c r="AN8" s="176">
        <f t="shared" si="9"/>
        <v>0</v>
      </c>
      <c r="AO8" s="176">
        <f t="shared" si="9"/>
        <v>312183868</v>
      </c>
      <c r="AP8" s="176">
        <f t="shared" ref="AP8:AT8" si="10">+AP9+AP24+AP36</f>
        <v>114332184</v>
      </c>
      <c r="AQ8" s="176">
        <f t="shared" si="10"/>
        <v>0</v>
      </c>
      <c r="AR8" s="176">
        <f t="shared" si="10"/>
        <v>104185675</v>
      </c>
      <c r="AS8" s="176">
        <f t="shared" si="10"/>
        <v>476514780</v>
      </c>
      <c r="AT8" s="176">
        <f t="shared" si="10"/>
        <v>0</v>
      </c>
      <c r="AU8" s="176">
        <f>+AU9+AU24+AU36</f>
        <v>25983778</v>
      </c>
      <c r="AV8" s="176">
        <f>+AV9+AV24+AV36</f>
        <v>13787675</v>
      </c>
      <c r="AW8" s="176">
        <f>+AW9+AW24+AW36</f>
        <v>8190377</v>
      </c>
      <c r="AX8" s="176">
        <f>+AX9+AX24+AX36</f>
        <v>0</v>
      </c>
      <c r="AY8" s="176">
        <f>+AY9+AY24+AY36</f>
        <v>0</v>
      </c>
      <c r="AZ8" s="176">
        <f t="shared" si="9"/>
        <v>35725422</v>
      </c>
      <c r="BA8" s="176">
        <f t="shared" si="9"/>
        <v>0</v>
      </c>
      <c r="BB8" s="188">
        <f t="shared" si="9"/>
        <v>523000000</v>
      </c>
      <c r="BC8" s="189"/>
      <c r="BD8" s="189"/>
      <c r="BE8" s="189"/>
      <c r="BF8" s="189"/>
      <c r="BG8" s="189"/>
      <c r="BH8" s="189"/>
      <c r="BI8" s="189"/>
      <c r="BJ8" s="189"/>
      <c r="BK8" s="189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</row>
    <row r="9" spans="1:75" s="210" customFormat="1" ht="33.75" customHeight="1" x14ac:dyDescent="0.25">
      <c r="A9" s="21" t="s">
        <v>54</v>
      </c>
      <c r="B9" s="22" t="s">
        <v>55</v>
      </c>
      <c r="C9" s="21" t="s">
        <v>56</v>
      </c>
      <c r="D9" s="23">
        <v>3202</v>
      </c>
      <c r="E9" s="23"/>
      <c r="F9" s="177">
        <f>SUM(H9:BB9)</f>
        <v>7647911299</v>
      </c>
      <c r="G9" s="177">
        <f>SUM(G11:G22)</f>
        <v>0</v>
      </c>
      <c r="H9" s="177">
        <f t="shared" ref="H9:BB9" si="11">SUM(H11:H23)</f>
        <v>113500000</v>
      </c>
      <c r="I9" s="177">
        <f t="shared" si="11"/>
        <v>344542607</v>
      </c>
      <c r="J9" s="177">
        <f t="shared" si="11"/>
        <v>30000000</v>
      </c>
      <c r="K9" s="177">
        <f t="shared" si="11"/>
        <v>0</v>
      </c>
      <c r="L9" s="177">
        <f t="shared" si="11"/>
        <v>0</v>
      </c>
      <c r="M9" s="177">
        <f t="shared" si="11"/>
        <v>0</v>
      </c>
      <c r="N9" s="177">
        <f t="shared" si="11"/>
        <v>621165131</v>
      </c>
      <c r="O9" s="177">
        <f t="shared" si="11"/>
        <v>4380306000</v>
      </c>
      <c r="P9" s="177">
        <f t="shared" si="11"/>
        <v>4500000</v>
      </c>
      <c r="Q9" s="177">
        <f t="shared" si="11"/>
        <v>0</v>
      </c>
      <c r="R9" s="177">
        <f t="shared" si="11"/>
        <v>0</v>
      </c>
      <c r="S9" s="177">
        <f t="shared" si="11"/>
        <v>0</v>
      </c>
      <c r="T9" s="177">
        <f t="shared" si="11"/>
        <v>114428487</v>
      </c>
      <c r="U9" s="177">
        <f t="shared" si="11"/>
        <v>7713000</v>
      </c>
      <c r="V9" s="177">
        <f t="shared" si="11"/>
        <v>240663000</v>
      </c>
      <c r="W9" s="177">
        <f t="shared" si="11"/>
        <v>0</v>
      </c>
      <c r="X9" s="177">
        <f t="shared" si="11"/>
        <v>0</v>
      </c>
      <c r="Y9" s="177">
        <f t="shared" si="11"/>
        <v>30000000</v>
      </c>
      <c r="Z9" s="177">
        <f t="shared" si="11"/>
        <v>293654973</v>
      </c>
      <c r="AA9" s="177">
        <f t="shared" si="11"/>
        <v>0</v>
      </c>
      <c r="AB9" s="177">
        <f t="shared" si="11"/>
        <v>0</v>
      </c>
      <c r="AC9" s="177">
        <f t="shared" si="11"/>
        <v>200000000</v>
      </c>
      <c r="AD9" s="177">
        <f t="shared" si="11"/>
        <v>0</v>
      </c>
      <c r="AE9" s="177">
        <f t="shared" si="11"/>
        <v>0</v>
      </c>
      <c r="AF9" s="177">
        <f t="shared" si="11"/>
        <v>49301513</v>
      </c>
      <c r="AG9" s="177">
        <f t="shared" si="11"/>
        <v>0</v>
      </c>
      <c r="AH9" s="177">
        <f t="shared" si="11"/>
        <v>0</v>
      </c>
      <c r="AI9" s="177">
        <f t="shared" si="11"/>
        <v>268927469</v>
      </c>
      <c r="AJ9" s="177">
        <f t="shared" si="11"/>
        <v>170489228</v>
      </c>
      <c r="AK9" s="177">
        <f t="shared" si="11"/>
        <v>0</v>
      </c>
      <c r="AL9" s="177">
        <f t="shared" si="11"/>
        <v>0</v>
      </c>
      <c r="AM9" s="177">
        <f t="shared" si="11"/>
        <v>0</v>
      </c>
      <c r="AN9" s="177">
        <f t="shared" si="11"/>
        <v>0</v>
      </c>
      <c r="AO9" s="177">
        <f t="shared" si="11"/>
        <v>0</v>
      </c>
      <c r="AP9" s="177">
        <f t="shared" si="11"/>
        <v>114332184</v>
      </c>
      <c r="AQ9" s="177">
        <f t="shared" si="11"/>
        <v>0</v>
      </c>
      <c r="AR9" s="177">
        <f t="shared" si="11"/>
        <v>104185675</v>
      </c>
      <c r="AS9" s="177">
        <f t="shared" si="11"/>
        <v>476514780</v>
      </c>
      <c r="AT9" s="177">
        <f t="shared" si="11"/>
        <v>0</v>
      </c>
      <c r="AU9" s="177">
        <f t="shared" si="11"/>
        <v>25983778</v>
      </c>
      <c r="AV9" s="177">
        <f t="shared" si="11"/>
        <v>13787675</v>
      </c>
      <c r="AW9" s="177">
        <f t="shared" si="11"/>
        <v>8190377</v>
      </c>
      <c r="AX9" s="177">
        <f t="shared" si="11"/>
        <v>0</v>
      </c>
      <c r="AY9" s="177">
        <f t="shared" si="11"/>
        <v>0</v>
      </c>
      <c r="AZ9" s="177">
        <f t="shared" si="11"/>
        <v>35725422</v>
      </c>
      <c r="BA9" s="177">
        <f t="shared" si="11"/>
        <v>0</v>
      </c>
      <c r="BB9" s="268">
        <f t="shared" si="11"/>
        <v>0</v>
      </c>
      <c r="BC9" s="189"/>
      <c r="BD9" s="189"/>
      <c r="BE9" s="189"/>
      <c r="BF9" s="189"/>
      <c r="BG9" s="189"/>
      <c r="BH9" s="189"/>
      <c r="BI9" s="189"/>
      <c r="BJ9" s="189"/>
      <c r="BK9" s="189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</row>
    <row r="10" spans="1:75" s="212" customFormat="1" ht="28.5" customHeight="1" x14ac:dyDescent="0.25">
      <c r="A10" s="24" t="s">
        <v>57</v>
      </c>
      <c r="B10" s="25" t="s">
        <v>58</v>
      </c>
      <c r="C10" s="25" t="s">
        <v>59</v>
      </c>
      <c r="D10" s="25" t="s">
        <v>60</v>
      </c>
      <c r="E10" s="155" t="s">
        <v>61</v>
      </c>
      <c r="F10" s="161" t="s">
        <v>62</v>
      </c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211"/>
      <c r="BC10" s="189"/>
      <c r="BD10" s="189"/>
      <c r="BE10" s="189"/>
      <c r="BF10" s="189"/>
      <c r="BG10" s="189"/>
      <c r="BH10" s="189"/>
      <c r="BI10" s="189"/>
      <c r="BJ10" s="189"/>
      <c r="BK10" s="189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</row>
    <row r="11" spans="1:75" ht="72.75" customHeight="1" x14ac:dyDescent="0.25">
      <c r="A11" s="27" t="s">
        <v>63</v>
      </c>
      <c r="B11" s="310" t="s">
        <v>64</v>
      </c>
      <c r="C11" s="10" t="s">
        <v>65</v>
      </c>
      <c r="D11" s="310" t="s">
        <v>66</v>
      </c>
      <c r="E11" s="311">
        <v>94</v>
      </c>
      <c r="F11" s="195">
        <f t="shared" ref="F11:F24" si="12">SUM(H11:BB11)</f>
        <v>1517721121</v>
      </c>
      <c r="G11" s="192"/>
      <c r="H11" s="179"/>
      <c r="I11" s="179">
        <v>213688600</v>
      </c>
      <c r="J11" s="179"/>
      <c r="K11" s="179"/>
      <c r="L11" s="179"/>
      <c r="M11" s="179"/>
      <c r="N11" s="179">
        <v>371165131</v>
      </c>
      <c r="O11" s="179"/>
      <c r="P11" s="179"/>
      <c r="Q11" s="179"/>
      <c r="R11" s="179"/>
      <c r="S11" s="179"/>
      <c r="T11" s="179">
        <v>82287000</v>
      </c>
      <c r="U11" s="179">
        <v>7713000</v>
      </c>
      <c r="V11" s="179"/>
      <c r="W11" s="179"/>
      <c r="X11" s="179"/>
      <c r="Y11" s="179"/>
      <c r="Z11" s="179">
        <v>30623674</v>
      </c>
      <c r="AA11" s="179"/>
      <c r="AB11" s="179"/>
      <c r="AC11" s="189">
        <v>200000000</v>
      </c>
      <c r="AD11" s="312"/>
      <c r="AE11" s="179"/>
      <c r="AF11" s="179">
        <v>49301513</v>
      </c>
      <c r="AG11" s="179"/>
      <c r="AH11" s="179"/>
      <c r="AI11" s="179">
        <v>268927469</v>
      </c>
      <c r="AJ11" s="179"/>
      <c r="AK11" s="179"/>
      <c r="AL11" s="179"/>
      <c r="AM11" s="179"/>
      <c r="AN11" s="179"/>
      <c r="AO11" s="179"/>
      <c r="AP11" s="179">
        <v>114332184</v>
      </c>
      <c r="AQ11" s="179"/>
      <c r="AR11" s="179">
        <f>104282372-96697</f>
        <v>104185675</v>
      </c>
      <c r="AS11" s="179"/>
      <c r="AT11" s="179"/>
      <c r="AU11" s="179">
        <v>25983778</v>
      </c>
      <c r="AV11" s="179">
        <v>13787675</v>
      </c>
      <c r="AW11" s="179"/>
      <c r="AX11" s="179"/>
      <c r="AY11" s="179"/>
      <c r="AZ11" s="179">
        <v>35725422</v>
      </c>
      <c r="BA11" s="179"/>
      <c r="BB11" s="213"/>
    </row>
    <row r="12" spans="1:75" ht="40.5" customHeight="1" x14ac:dyDescent="0.25">
      <c r="A12" s="27" t="s">
        <v>67</v>
      </c>
      <c r="B12" s="310" t="s">
        <v>68</v>
      </c>
      <c r="C12" s="11" t="s">
        <v>65</v>
      </c>
      <c r="D12" s="310" t="s">
        <v>69</v>
      </c>
      <c r="E12" s="311"/>
      <c r="F12" s="195">
        <f t="shared" si="12"/>
        <v>0</v>
      </c>
      <c r="G12" s="192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213"/>
    </row>
    <row r="13" spans="1:75" ht="33" customHeight="1" x14ac:dyDescent="0.25">
      <c r="A13" s="27" t="s">
        <v>70</v>
      </c>
      <c r="B13" s="310" t="s">
        <v>71</v>
      </c>
      <c r="C13" s="11" t="s">
        <v>65</v>
      </c>
      <c r="D13" s="310" t="s">
        <v>72</v>
      </c>
      <c r="E13" s="311">
        <v>1</v>
      </c>
      <c r="F13" s="195">
        <f t="shared" si="12"/>
        <v>84000000</v>
      </c>
      <c r="G13" s="192"/>
      <c r="H13" s="179">
        <f>64000000+4500000</f>
        <v>68500000</v>
      </c>
      <c r="I13" s="179">
        <v>11000000</v>
      </c>
      <c r="J13" s="179"/>
      <c r="K13" s="179"/>
      <c r="L13" s="179"/>
      <c r="M13" s="179"/>
      <c r="N13" s="179"/>
      <c r="O13" s="179"/>
      <c r="P13" s="179">
        <v>4500000</v>
      </c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213"/>
    </row>
    <row r="14" spans="1:75" ht="45" customHeight="1" x14ac:dyDescent="0.25">
      <c r="A14" s="27" t="s">
        <v>73</v>
      </c>
      <c r="B14" s="310" t="s">
        <v>74</v>
      </c>
      <c r="C14" s="11" t="s">
        <v>65</v>
      </c>
      <c r="D14" s="310" t="s">
        <v>69</v>
      </c>
      <c r="E14" s="311"/>
      <c r="F14" s="195">
        <f t="shared" si="12"/>
        <v>0</v>
      </c>
      <c r="G14" s="192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213"/>
    </row>
    <row r="15" spans="1:75" ht="45" customHeight="1" x14ac:dyDescent="0.25">
      <c r="A15" s="27" t="s">
        <v>75</v>
      </c>
      <c r="B15" s="310" t="s">
        <v>76</v>
      </c>
      <c r="C15" s="11" t="s">
        <v>65</v>
      </c>
      <c r="D15" s="310" t="s">
        <v>77</v>
      </c>
      <c r="E15" s="311"/>
      <c r="F15" s="195">
        <f t="shared" si="12"/>
        <v>0</v>
      </c>
      <c r="G15" s="192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213"/>
    </row>
    <row r="16" spans="1:75" ht="54.75" customHeight="1" x14ac:dyDescent="0.25">
      <c r="A16" s="27" t="s">
        <v>78</v>
      </c>
      <c r="B16" s="310" t="s">
        <v>79</v>
      </c>
      <c r="C16" s="11" t="s">
        <v>65</v>
      </c>
      <c r="D16" s="310" t="s">
        <v>80</v>
      </c>
      <c r="E16" s="311">
        <v>1</v>
      </c>
      <c r="F16" s="195">
        <f t="shared" si="12"/>
        <v>79854007</v>
      </c>
      <c r="G16" s="192"/>
      <c r="H16" s="179"/>
      <c r="I16" s="179">
        <v>79854007</v>
      </c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213"/>
    </row>
    <row r="17" spans="1:75" ht="48" customHeight="1" x14ac:dyDescent="0.25">
      <c r="A17" s="27" t="s">
        <v>81</v>
      </c>
      <c r="B17" s="310" t="s">
        <v>82</v>
      </c>
      <c r="C17" s="11" t="s">
        <v>65</v>
      </c>
      <c r="D17" s="310" t="s">
        <v>83</v>
      </c>
      <c r="E17" s="313">
        <v>100</v>
      </c>
      <c r="F17" s="195">
        <f t="shared" si="12"/>
        <v>623190377</v>
      </c>
      <c r="G17" s="314"/>
      <c r="H17" s="179"/>
      <c r="I17" s="179"/>
      <c r="J17" s="179"/>
      <c r="K17" s="179"/>
      <c r="L17" s="179"/>
      <c r="M17" s="179"/>
      <c r="N17" s="179"/>
      <c r="O17" s="179">
        <v>615000000</v>
      </c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>
        <v>8190377</v>
      </c>
      <c r="AX17" s="179"/>
      <c r="AY17" s="179"/>
      <c r="AZ17" s="179"/>
      <c r="BA17" s="179"/>
      <c r="BB17" s="213"/>
    </row>
    <row r="18" spans="1:75" ht="47.25" customHeight="1" x14ac:dyDescent="0.25">
      <c r="A18" s="27" t="s">
        <v>84</v>
      </c>
      <c r="B18" s="310" t="s">
        <v>85</v>
      </c>
      <c r="C18" s="315" t="s">
        <v>65</v>
      </c>
      <c r="D18" s="310" t="s">
        <v>86</v>
      </c>
      <c r="E18" s="30">
        <v>3</v>
      </c>
      <c r="F18" s="195">
        <f t="shared" si="12"/>
        <v>4652973008</v>
      </c>
      <c r="G18" s="316"/>
      <c r="H18" s="179"/>
      <c r="I18" s="179"/>
      <c r="J18" s="179"/>
      <c r="K18" s="179"/>
      <c r="L18" s="179"/>
      <c r="M18" s="179"/>
      <c r="N18" s="179"/>
      <c r="O18" s="179">
        <f>350000000+2000000000+1472029000-170489228-476514780+500281008+90000000</f>
        <v>3765306000</v>
      </c>
      <c r="P18" s="179"/>
      <c r="Q18" s="179"/>
      <c r="R18" s="179"/>
      <c r="S18" s="179"/>
      <c r="T18" s="179"/>
      <c r="U18" s="179"/>
      <c r="V18" s="179">
        <v>240663000</v>
      </c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>
        <v>170489228</v>
      </c>
      <c r="AK18" s="179"/>
      <c r="AL18" s="179"/>
      <c r="AM18" s="179"/>
      <c r="AN18" s="179"/>
      <c r="AO18" s="179"/>
      <c r="AP18" s="179"/>
      <c r="AQ18" s="179"/>
      <c r="AR18" s="179"/>
      <c r="AS18" s="179">
        <f>476526400-11620</f>
        <v>476514780</v>
      </c>
      <c r="AT18" s="179"/>
      <c r="AU18" s="179"/>
      <c r="AV18" s="179"/>
      <c r="AW18" s="179"/>
      <c r="AX18" s="179"/>
      <c r="AY18" s="179"/>
      <c r="AZ18" s="179"/>
      <c r="BA18" s="179"/>
      <c r="BB18" s="213"/>
    </row>
    <row r="19" spans="1:75" ht="69" customHeight="1" x14ac:dyDescent="0.25">
      <c r="A19" s="27" t="s">
        <v>87</v>
      </c>
      <c r="B19" s="310" t="s">
        <v>88</v>
      </c>
      <c r="C19" s="11" t="s">
        <v>65</v>
      </c>
      <c r="D19" s="310" t="s">
        <v>89</v>
      </c>
      <c r="E19" s="311">
        <v>4</v>
      </c>
      <c r="F19" s="195">
        <f t="shared" si="12"/>
        <v>367141487</v>
      </c>
      <c r="G19" s="192"/>
      <c r="H19" s="179">
        <f>45000000</f>
        <v>45000000</v>
      </c>
      <c r="I19" s="179">
        <v>40000000</v>
      </c>
      <c r="J19" s="179"/>
      <c r="K19" s="179"/>
      <c r="L19" s="179"/>
      <c r="M19" s="179"/>
      <c r="N19" s="179">
        <v>250000000</v>
      </c>
      <c r="O19" s="179"/>
      <c r="P19" s="179"/>
      <c r="Q19" s="179"/>
      <c r="R19" s="179"/>
      <c r="S19" s="179"/>
      <c r="T19" s="179">
        <v>32141487</v>
      </c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213"/>
    </row>
    <row r="20" spans="1:75" ht="57.75" customHeight="1" x14ac:dyDescent="0.25">
      <c r="A20" s="27" t="s">
        <v>90</v>
      </c>
      <c r="B20" s="310" t="s">
        <v>91</v>
      </c>
      <c r="C20" s="11" t="s">
        <v>65</v>
      </c>
      <c r="D20" s="310" t="s">
        <v>92</v>
      </c>
      <c r="E20" s="311"/>
      <c r="F20" s="195">
        <f t="shared" si="12"/>
        <v>0</v>
      </c>
      <c r="G20" s="192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213"/>
    </row>
    <row r="21" spans="1:75" ht="45" customHeight="1" x14ac:dyDescent="0.25">
      <c r="A21" s="27" t="s">
        <v>93</v>
      </c>
      <c r="B21" s="317" t="s">
        <v>94</v>
      </c>
      <c r="C21" s="11" t="s">
        <v>65</v>
      </c>
      <c r="D21" s="310" t="s">
        <v>95</v>
      </c>
      <c r="E21" s="311">
        <v>2</v>
      </c>
      <c r="F21" s="195">
        <f t="shared" si="12"/>
        <v>323031299</v>
      </c>
      <c r="G21" s="192"/>
      <c r="H21" s="179"/>
      <c r="I21" s="179"/>
      <c r="J21" s="179">
        <v>30000000</v>
      </c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>
        <v>30000000</v>
      </c>
      <c r="Z21" s="179">
        <f>63031299+200000000</f>
        <v>263031299</v>
      </c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213"/>
    </row>
    <row r="22" spans="1:75" ht="61.5" customHeight="1" x14ac:dyDescent="0.25">
      <c r="A22" s="27" t="s">
        <v>96</v>
      </c>
      <c r="B22" s="317" t="s">
        <v>97</v>
      </c>
      <c r="C22" s="11" t="s">
        <v>65</v>
      </c>
      <c r="D22" s="310" t="s">
        <v>98</v>
      </c>
      <c r="E22" s="311"/>
      <c r="F22" s="195">
        <f t="shared" si="12"/>
        <v>0</v>
      </c>
      <c r="G22" s="192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213"/>
    </row>
    <row r="23" spans="1:75" ht="90" customHeight="1" x14ac:dyDescent="0.25">
      <c r="A23" s="27" t="s">
        <v>99</v>
      </c>
      <c r="B23" s="317" t="s">
        <v>100</v>
      </c>
      <c r="C23" s="11" t="s">
        <v>65</v>
      </c>
      <c r="D23" s="310" t="s">
        <v>101</v>
      </c>
      <c r="E23" s="311"/>
      <c r="F23" s="195">
        <f t="shared" si="12"/>
        <v>0</v>
      </c>
      <c r="G23" s="192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213"/>
    </row>
    <row r="24" spans="1:75" s="215" customFormat="1" ht="47.25" customHeight="1" x14ac:dyDescent="0.25">
      <c r="A24" s="21" t="s">
        <v>102</v>
      </c>
      <c r="B24" s="22" t="s">
        <v>103</v>
      </c>
      <c r="C24" s="21" t="s">
        <v>56</v>
      </c>
      <c r="D24" s="22">
        <v>3202</v>
      </c>
      <c r="E24" s="21"/>
      <c r="F24" s="178">
        <f t="shared" si="12"/>
        <v>2063000000</v>
      </c>
      <c r="G24" s="178">
        <f>SUM(G26:G34)</f>
        <v>0</v>
      </c>
      <c r="H24" s="178">
        <f t="shared" ref="H24:BB24" si="13">SUM(H26:H35)</f>
        <v>62075698</v>
      </c>
      <c r="I24" s="178">
        <f t="shared" si="13"/>
        <v>0</v>
      </c>
      <c r="J24" s="178">
        <f t="shared" si="13"/>
        <v>0</v>
      </c>
      <c r="K24" s="178">
        <f t="shared" si="13"/>
        <v>0</v>
      </c>
      <c r="L24" s="178">
        <f t="shared" si="13"/>
        <v>0</v>
      </c>
      <c r="M24" s="178">
        <f t="shared" si="13"/>
        <v>0</v>
      </c>
      <c r="N24" s="178">
        <f t="shared" si="13"/>
        <v>200000000</v>
      </c>
      <c r="O24" s="178">
        <f t="shared" si="13"/>
        <v>0</v>
      </c>
      <c r="P24" s="178">
        <f t="shared" si="13"/>
        <v>0</v>
      </c>
      <c r="Q24" s="178">
        <f t="shared" si="13"/>
        <v>0</v>
      </c>
      <c r="R24" s="178">
        <f t="shared" si="13"/>
        <v>0</v>
      </c>
      <c r="S24" s="178">
        <f t="shared" si="13"/>
        <v>0</v>
      </c>
      <c r="T24" s="178">
        <f t="shared" si="13"/>
        <v>0</v>
      </c>
      <c r="U24" s="178">
        <f t="shared" si="13"/>
        <v>0</v>
      </c>
      <c r="V24" s="178">
        <f t="shared" si="13"/>
        <v>0</v>
      </c>
      <c r="W24" s="178">
        <f t="shared" si="13"/>
        <v>0</v>
      </c>
      <c r="X24" s="178">
        <f t="shared" si="13"/>
        <v>0</v>
      </c>
      <c r="Y24" s="178">
        <f t="shared" si="13"/>
        <v>233462151</v>
      </c>
      <c r="Z24" s="178">
        <f t="shared" si="13"/>
        <v>0</v>
      </c>
      <c r="AA24" s="178">
        <f t="shared" si="13"/>
        <v>0</v>
      </c>
      <c r="AB24" s="178">
        <f t="shared" si="13"/>
        <v>0</v>
      </c>
      <c r="AC24" s="178">
        <f t="shared" si="13"/>
        <v>0</v>
      </c>
      <c r="AD24" s="178">
        <f t="shared" si="13"/>
        <v>132278283</v>
      </c>
      <c r="AE24" s="178">
        <f t="shared" si="13"/>
        <v>0</v>
      </c>
      <c r="AF24" s="178">
        <f t="shared" si="13"/>
        <v>0</v>
      </c>
      <c r="AG24" s="178">
        <f t="shared" si="13"/>
        <v>0</v>
      </c>
      <c r="AH24" s="178">
        <f t="shared" si="13"/>
        <v>0</v>
      </c>
      <c r="AI24" s="178">
        <f t="shared" si="13"/>
        <v>0</v>
      </c>
      <c r="AJ24" s="178">
        <f t="shared" si="13"/>
        <v>600000000</v>
      </c>
      <c r="AK24" s="178">
        <f t="shared" si="13"/>
        <v>0</v>
      </c>
      <c r="AL24" s="178">
        <f t="shared" si="13"/>
        <v>0</v>
      </c>
      <c r="AM24" s="178">
        <f t="shared" si="13"/>
        <v>0</v>
      </c>
      <c r="AN24" s="178">
        <f t="shared" si="13"/>
        <v>0</v>
      </c>
      <c r="AO24" s="178">
        <f t="shared" si="13"/>
        <v>312183868</v>
      </c>
      <c r="AP24" s="178">
        <f t="shared" si="13"/>
        <v>0</v>
      </c>
      <c r="AQ24" s="178">
        <f t="shared" si="13"/>
        <v>0</v>
      </c>
      <c r="AR24" s="178">
        <f t="shared" si="13"/>
        <v>0</v>
      </c>
      <c r="AS24" s="178">
        <f t="shared" si="13"/>
        <v>0</v>
      </c>
      <c r="AT24" s="178">
        <f t="shared" si="13"/>
        <v>0</v>
      </c>
      <c r="AU24" s="178">
        <f t="shared" si="13"/>
        <v>0</v>
      </c>
      <c r="AV24" s="178">
        <f t="shared" si="13"/>
        <v>0</v>
      </c>
      <c r="AW24" s="178">
        <f t="shared" si="13"/>
        <v>0</v>
      </c>
      <c r="AX24" s="178">
        <f t="shared" si="13"/>
        <v>0</v>
      </c>
      <c r="AY24" s="178">
        <f t="shared" si="13"/>
        <v>0</v>
      </c>
      <c r="AZ24" s="178">
        <f t="shared" si="13"/>
        <v>0</v>
      </c>
      <c r="BA24" s="178">
        <f t="shared" si="13"/>
        <v>0</v>
      </c>
      <c r="BB24" s="270">
        <f t="shared" si="13"/>
        <v>523000000</v>
      </c>
      <c r="BC24" s="194"/>
      <c r="BD24" s="195"/>
      <c r="BE24" s="195"/>
      <c r="BF24" s="195"/>
      <c r="BG24" s="195"/>
      <c r="BH24" s="195"/>
      <c r="BI24" s="195"/>
      <c r="BJ24" s="195"/>
      <c r="BK24" s="195"/>
      <c r="BL24" s="29"/>
      <c r="BM24" s="29"/>
      <c r="BN24" s="29"/>
      <c r="BO24" s="29"/>
      <c r="BP24" s="29"/>
      <c r="BQ24" s="214"/>
      <c r="BR24" s="214"/>
      <c r="BS24" s="214"/>
      <c r="BT24" s="214"/>
      <c r="BU24" s="214"/>
      <c r="BV24" s="214"/>
      <c r="BW24" s="214"/>
    </row>
    <row r="25" spans="1:75" s="212" customFormat="1" ht="25.5" x14ac:dyDescent="0.25">
      <c r="A25" s="24" t="s">
        <v>57</v>
      </c>
      <c r="B25" s="25" t="s">
        <v>58</v>
      </c>
      <c r="C25" s="25" t="s">
        <v>59</v>
      </c>
      <c r="D25" s="25" t="s">
        <v>60</v>
      </c>
      <c r="E25" s="25" t="s">
        <v>61</v>
      </c>
      <c r="F25" s="26" t="s">
        <v>62</v>
      </c>
      <c r="G25" s="191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211"/>
      <c r="BC25" s="189"/>
      <c r="BD25" s="189"/>
      <c r="BE25" s="189"/>
      <c r="BF25" s="189"/>
      <c r="BG25" s="189"/>
      <c r="BH25" s="189"/>
      <c r="BI25" s="189"/>
      <c r="BJ25" s="189"/>
      <c r="BK25" s="189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</row>
    <row r="26" spans="1:75" ht="37.5" customHeight="1" x14ac:dyDescent="0.25">
      <c r="A26" s="27" t="s">
        <v>104</v>
      </c>
      <c r="B26" s="310" t="s">
        <v>105</v>
      </c>
      <c r="C26" s="10" t="s">
        <v>65</v>
      </c>
      <c r="D26" s="10" t="s">
        <v>106</v>
      </c>
      <c r="E26" s="318"/>
      <c r="F26" s="195">
        <f t="shared" ref="F26:F36" si="14">SUM(H26:BB26)</f>
        <v>0</v>
      </c>
      <c r="G26" s="196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213"/>
    </row>
    <row r="27" spans="1:75" ht="48" customHeight="1" x14ac:dyDescent="0.25">
      <c r="A27" s="27" t="s">
        <v>107</v>
      </c>
      <c r="B27" s="12" t="s">
        <v>108</v>
      </c>
      <c r="C27" s="10" t="s">
        <v>65</v>
      </c>
      <c r="D27" s="10" t="s">
        <v>109</v>
      </c>
      <c r="E27" s="318">
        <v>1</v>
      </c>
      <c r="F27" s="195">
        <f t="shared" si="14"/>
        <v>933000000</v>
      </c>
      <c r="G27" s="196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>
        <v>132278283</v>
      </c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>
        <f>410000000-132278283</f>
        <v>277721717</v>
      </c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213">
        <v>523000000</v>
      </c>
    </row>
    <row r="28" spans="1:75" ht="45" customHeight="1" x14ac:dyDescent="0.25">
      <c r="A28" s="27" t="s">
        <v>110</v>
      </c>
      <c r="B28" s="12" t="s">
        <v>111</v>
      </c>
      <c r="C28" s="10" t="s">
        <v>65</v>
      </c>
      <c r="D28" s="10" t="s">
        <v>112</v>
      </c>
      <c r="E28" s="318"/>
      <c r="F28" s="195">
        <f t="shared" si="14"/>
        <v>0</v>
      </c>
      <c r="G28" s="196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213"/>
    </row>
    <row r="29" spans="1:75" ht="12.75" x14ac:dyDescent="0.25">
      <c r="A29" s="27" t="s">
        <v>113</v>
      </c>
      <c r="B29" s="12" t="s">
        <v>114</v>
      </c>
      <c r="C29" s="10" t="s">
        <v>65</v>
      </c>
      <c r="D29" s="10" t="s">
        <v>115</v>
      </c>
      <c r="E29" s="318"/>
      <c r="F29" s="195">
        <f t="shared" si="14"/>
        <v>0</v>
      </c>
      <c r="G29" s="196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213"/>
    </row>
    <row r="30" spans="1:75" ht="25.5" x14ac:dyDescent="0.25">
      <c r="A30" s="27" t="s">
        <v>116</v>
      </c>
      <c r="B30" s="12" t="s">
        <v>117</v>
      </c>
      <c r="C30" s="10" t="s">
        <v>65</v>
      </c>
      <c r="D30" s="10" t="s">
        <v>118</v>
      </c>
      <c r="E30" s="318">
        <v>6</v>
      </c>
      <c r="F30" s="195">
        <f t="shared" si="14"/>
        <v>1100000000</v>
      </c>
      <c r="G30" s="196"/>
      <c r="H30" s="179">
        <f>300000000-233462151-4462151</f>
        <v>62075698</v>
      </c>
      <c r="I30" s="179"/>
      <c r="J30" s="179"/>
      <c r="K30" s="179"/>
      <c r="L30" s="179"/>
      <c r="M30" s="179"/>
      <c r="N30" s="179">
        <v>200000000</v>
      </c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>
        <v>233462151</v>
      </c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>
        <v>600000000</v>
      </c>
      <c r="AK30" s="179"/>
      <c r="AL30" s="179"/>
      <c r="AM30" s="179"/>
      <c r="AN30" s="179"/>
      <c r="AO30" s="179">
        <v>4462151</v>
      </c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213"/>
    </row>
    <row r="31" spans="1:75" ht="52.5" customHeight="1" x14ac:dyDescent="0.25">
      <c r="A31" s="27" t="s">
        <v>119</v>
      </c>
      <c r="B31" s="12" t="s">
        <v>120</v>
      </c>
      <c r="C31" s="10" t="s">
        <v>65</v>
      </c>
      <c r="D31" s="12" t="s">
        <v>121</v>
      </c>
      <c r="E31" s="318">
        <v>1</v>
      </c>
      <c r="F31" s="195">
        <f t="shared" si="14"/>
        <v>30000000</v>
      </c>
      <c r="G31" s="196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>
        <v>30000000</v>
      </c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213"/>
    </row>
    <row r="32" spans="1:75" ht="84" customHeight="1" x14ac:dyDescent="0.25">
      <c r="A32" s="27" t="s">
        <v>122</v>
      </c>
      <c r="B32" s="12" t="s">
        <v>123</v>
      </c>
      <c r="C32" s="319" t="s">
        <v>124</v>
      </c>
      <c r="D32" s="319" t="s">
        <v>125</v>
      </c>
      <c r="E32" s="318"/>
      <c r="F32" s="195">
        <f t="shared" si="14"/>
        <v>0</v>
      </c>
      <c r="G32" s="196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213"/>
    </row>
    <row r="33" spans="1:75" ht="52.5" customHeight="1" x14ac:dyDescent="0.25">
      <c r="A33" s="27" t="s">
        <v>126</v>
      </c>
      <c r="B33" s="320" t="s">
        <v>127</v>
      </c>
      <c r="C33" s="319" t="s">
        <v>124</v>
      </c>
      <c r="D33" s="10" t="s">
        <v>128</v>
      </c>
      <c r="E33" s="311"/>
      <c r="F33" s="195">
        <f t="shared" si="14"/>
        <v>0</v>
      </c>
      <c r="G33" s="192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213"/>
    </row>
    <row r="34" spans="1:75" ht="52.5" customHeight="1" x14ac:dyDescent="0.25">
      <c r="A34" s="27" t="s">
        <v>129</v>
      </c>
      <c r="B34" s="12" t="s">
        <v>130</v>
      </c>
      <c r="C34" s="27" t="s">
        <v>65</v>
      </c>
      <c r="D34" s="10" t="s">
        <v>131</v>
      </c>
      <c r="E34" s="10"/>
      <c r="F34" s="195">
        <f t="shared" si="14"/>
        <v>0</v>
      </c>
      <c r="G34" s="196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  <c r="AN34" s="179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213"/>
    </row>
    <row r="35" spans="1:75" ht="105.75" customHeight="1" x14ac:dyDescent="0.25">
      <c r="A35" s="27" t="s">
        <v>132</v>
      </c>
      <c r="B35" s="12" t="s">
        <v>133</v>
      </c>
      <c r="C35" s="27" t="s">
        <v>124</v>
      </c>
      <c r="D35" s="10" t="s">
        <v>134</v>
      </c>
      <c r="E35" s="10"/>
      <c r="F35" s="195">
        <f t="shared" si="14"/>
        <v>0</v>
      </c>
      <c r="G35" s="196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  <c r="AN35" s="179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213"/>
    </row>
    <row r="36" spans="1:75" s="215" customFormat="1" ht="33.75" customHeight="1" x14ac:dyDescent="0.25">
      <c r="A36" s="21" t="s">
        <v>135</v>
      </c>
      <c r="B36" s="22" t="s">
        <v>136</v>
      </c>
      <c r="C36" s="21" t="s">
        <v>56</v>
      </c>
      <c r="D36" s="22">
        <v>3202</v>
      </c>
      <c r="E36" s="21"/>
      <c r="F36" s="178">
        <f t="shared" si="14"/>
        <v>1141000000</v>
      </c>
      <c r="G36" s="178">
        <f>SUM(G38:G44)</f>
        <v>0</v>
      </c>
      <c r="H36" s="178">
        <f>SUM(H38:H44)</f>
        <v>603132478</v>
      </c>
      <c r="I36" s="178">
        <f t="shared" ref="I36:L36" si="15">SUM(I38:I44)</f>
        <v>189000000</v>
      </c>
      <c r="J36" s="178">
        <f t="shared" si="15"/>
        <v>0</v>
      </c>
      <c r="K36" s="178">
        <f t="shared" si="15"/>
        <v>0</v>
      </c>
      <c r="L36" s="178">
        <f t="shared" si="15"/>
        <v>0</v>
      </c>
      <c r="M36" s="178">
        <f t="shared" ref="M36:R36" si="16">SUM(M38:M44)</f>
        <v>0</v>
      </c>
      <c r="N36" s="178">
        <f t="shared" si="16"/>
        <v>0</v>
      </c>
      <c r="O36" s="178">
        <f t="shared" si="16"/>
        <v>0</v>
      </c>
      <c r="P36" s="178">
        <f t="shared" si="16"/>
        <v>0</v>
      </c>
      <c r="Q36" s="178">
        <f t="shared" si="16"/>
        <v>0</v>
      </c>
      <c r="R36" s="178">
        <f t="shared" si="16"/>
        <v>0</v>
      </c>
      <c r="S36" s="178">
        <f t="shared" ref="S36:W36" si="17">SUM(S38:S44)</f>
        <v>0</v>
      </c>
      <c r="T36" s="178">
        <f t="shared" si="17"/>
        <v>140916513</v>
      </c>
      <c r="U36" s="178">
        <f t="shared" si="17"/>
        <v>0</v>
      </c>
      <c r="V36" s="178">
        <f t="shared" si="17"/>
        <v>0</v>
      </c>
      <c r="W36" s="178">
        <f t="shared" si="17"/>
        <v>0</v>
      </c>
      <c r="X36" s="178">
        <f t="shared" ref="X36:BB36" si="18">SUM(X38:X44)</f>
        <v>0</v>
      </c>
      <c r="Y36" s="178">
        <f t="shared" si="18"/>
        <v>0</v>
      </c>
      <c r="Z36" s="178">
        <f t="shared" si="18"/>
        <v>193417524</v>
      </c>
      <c r="AA36" s="178">
        <f t="shared" si="18"/>
        <v>0</v>
      </c>
      <c r="AB36" s="178">
        <f t="shared" si="18"/>
        <v>0</v>
      </c>
      <c r="AC36" s="178">
        <f t="shared" si="18"/>
        <v>0</v>
      </c>
      <c r="AD36" s="178">
        <f t="shared" si="18"/>
        <v>0</v>
      </c>
      <c r="AE36" s="178">
        <f t="shared" si="18"/>
        <v>0</v>
      </c>
      <c r="AF36" s="178">
        <f t="shared" si="18"/>
        <v>0</v>
      </c>
      <c r="AG36" s="178">
        <f t="shared" si="18"/>
        <v>0</v>
      </c>
      <c r="AH36" s="178">
        <f t="shared" si="18"/>
        <v>0</v>
      </c>
      <c r="AI36" s="178">
        <f t="shared" si="18"/>
        <v>0</v>
      </c>
      <c r="AJ36" s="178">
        <f t="shared" si="18"/>
        <v>0</v>
      </c>
      <c r="AK36" s="178">
        <f t="shared" si="18"/>
        <v>14533485</v>
      </c>
      <c r="AL36" s="178">
        <f t="shared" si="18"/>
        <v>0</v>
      </c>
      <c r="AM36" s="178">
        <f t="shared" si="18"/>
        <v>0</v>
      </c>
      <c r="AN36" s="178">
        <f t="shared" si="18"/>
        <v>0</v>
      </c>
      <c r="AO36" s="178">
        <f t="shared" si="18"/>
        <v>0</v>
      </c>
      <c r="AP36" s="178">
        <f t="shared" si="18"/>
        <v>0</v>
      </c>
      <c r="AQ36" s="178">
        <f t="shared" si="18"/>
        <v>0</v>
      </c>
      <c r="AR36" s="178">
        <f t="shared" si="18"/>
        <v>0</v>
      </c>
      <c r="AS36" s="178">
        <f t="shared" si="18"/>
        <v>0</v>
      </c>
      <c r="AT36" s="178">
        <f t="shared" si="18"/>
        <v>0</v>
      </c>
      <c r="AU36" s="178">
        <f t="shared" si="18"/>
        <v>0</v>
      </c>
      <c r="AV36" s="178">
        <f t="shared" si="18"/>
        <v>0</v>
      </c>
      <c r="AW36" s="178">
        <f t="shared" si="18"/>
        <v>0</v>
      </c>
      <c r="AX36" s="178">
        <f t="shared" si="18"/>
        <v>0</v>
      </c>
      <c r="AY36" s="178">
        <f t="shared" si="18"/>
        <v>0</v>
      </c>
      <c r="AZ36" s="178">
        <f t="shared" si="18"/>
        <v>0</v>
      </c>
      <c r="BA36" s="178">
        <f t="shared" si="18"/>
        <v>0</v>
      </c>
      <c r="BB36" s="193">
        <f t="shared" si="18"/>
        <v>0</v>
      </c>
      <c r="BC36" s="216"/>
      <c r="BD36" s="216"/>
      <c r="BE36" s="216"/>
      <c r="BF36" s="216"/>
      <c r="BG36" s="216"/>
      <c r="BH36" s="216"/>
      <c r="BI36" s="216"/>
      <c r="BJ36" s="216"/>
      <c r="BK36" s="216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</row>
    <row r="37" spans="1:75" s="212" customFormat="1" ht="32.25" customHeight="1" x14ac:dyDescent="0.25">
      <c r="A37" s="24" t="s">
        <v>57</v>
      </c>
      <c r="B37" s="25" t="s">
        <v>58</v>
      </c>
      <c r="C37" s="25" t="s">
        <v>59</v>
      </c>
      <c r="D37" s="25" t="s">
        <v>60</v>
      </c>
      <c r="E37" s="25" t="s">
        <v>61</v>
      </c>
      <c r="F37" s="26" t="s">
        <v>62</v>
      </c>
      <c r="G37" s="191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211"/>
      <c r="BC37" s="189"/>
      <c r="BD37" s="189"/>
      <c r="BE37" s="189"/>
      <c r="BF37" s="189"/>
      <c r="BG37" s="189"/>
      <c r="BH37" s="189"/>
      <c r="BI37" s="189"/>
      <c r="BJ37" s="189"/>
      <c r="BK37" s="189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 ht="12.75" x14ac:dyDescent="0.25">
      <c r="A38" s="27" t="s">
        <v>137</v>
      </c>
      <c r="B38" s="310" t="s">
        <v>138</v>
      </c>
      <c r="C38" s="11" t="s">
        <v>65</v>
      </c>
      <c r="D38" s="310" t="s">
        <v>139</v>
      </c>
      <c r="E38" s="311">
        <v>3</v>
      </c>
      <c r="F38" s="195">
        <f t="shared" ref="F38:F46" si="19">SUM(H38:BB38)</f>
        <v>930000000</v>
      </c>
      <c r="G38" s="192"/>
      <c r="H38" s="179">
        <f>700000000-14533485-140916513-43417524</f>
        <v>501132478</v>
      </c>
      <c r="I38" s="179">
        <v>80000000</v>
      </c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>
        <v>140916513</v>
      </c>
      <c r="U38" s="179"/>
      <c r="V38" s="179"/>
      <c r="W38" s="179"/>
      <c r="X38" s="179"/>
      <c r="Y38" s="179"/>
      <c r="Z38" s="179">
        <f>150000000+43417524</f>
        <v>193417524</v>
      </c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>
        <v>14533485</v>
      </c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213"/>
    </row>
    <row r="39" spans="1:75" ht="55.5" customHeight="1" x14ac:dyDescent="0.25">
      <c r="A39" s="27" t="s">
        <v>140</v>
      </c>
      <c r="B39" s="321" t="s">
        <v>141</v>
      </c>
      <c r="C39" s="11" t="s">
        <v>65</v>
      </c>
      <c r="D39" s="310" t="s">
        <v>142</v>
      </c>
      <c r="E39" s="311"/>
      <c r="F39" s="195">
        <f t="shared" si="19"/>
        <v>0</v>
      </c>
      <c r="G39" s="192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213"/>
    </row>
    <row r="40" spans="1:75" ht="25.5" x14ac:dyDescent="0.25">
      <c r="A40" s="27" t="s">
        <v>143</v>
      </c>
      <c r="B40" s="310" t="s">
        <v>144</v>
      </c>
      <c r="C40" s="11" t="s">
        <v>65</v>
      </c>
      <c r="D40" s="310" t="s">
        <v>145</v>
      </c>
      <c r="E40" s="311"/>
      <c r="F40" s="195">
        <f t="shared" si="19"/>
        <v>0</v>
      </c>
      <c r="G40" s="192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213"/>
    </row>
    <row r="41" spans="1:75" ht="42" customHeight="1" x14ac:dyDescent="0.25">
      <c r="A41" s="27" t="s">
        <v>146</v>
      </c>
      <c r="B41" s="310" t="s">
        <v>147</v>
      </c>
      <c r="C41" s="11" t="s">
        <v>65</v>
      </c>
      <c r="D41" s="31" t="s">
        <v>148</v>
      </c>
      <c r="E41" s="311">
        <v>1</v>
      </c>
      <c r="F41" s="195">
        <f t="shared" si="19"/>
        <v>35000000</v>
      </c>
      <c r="G41" s="192"/>
      <c r="H41" s="179">
        <v>6000000</v>
      </c>
      <c r="I41" s="179">
        <v>29000000</v>
      </c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213"/>
    </row>
    <row r="42" spans="1:75" ht="12.75" x14ac:dyDescent="0.25">
      <c r="A42" s="27" t="s">
        <v>149</v>
      </c>
      <c r="B42" s="310" t="s">
        <v>150</v>
      </c>
      <c r="C42" s="11" t="s">
        <v>124</v>
      </c>
      <c r="D42" s="310" t="s">
        <v>151</v>
      </c>
      <c r="E42" s="311">
        <v>1.5</v>
      </c>
      <c r="F42" s="195">
        <f t="shared" si="19"/>
        <v>36000000</v>
      </c>
      <c r="G42" s="192"/>
      <c r="H42" s="179">
        <v>36000000</v>
      </c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213"/>
    </row>
    <row r="43" spans="1:75" ht="49.5" customHeight="1" x14ac:dyDescent="0.25">
      <c r="A43" s="27" t="s">
        <v>152</v>
      </c>
      <c r="B43" s="310" t="s">
        <v>153</v>
      </c>
      <c r="C43" s="11" t="s">
        <v>154</v>
      </c>
      <c r="D43" s="310" t="s">
        <v>155</v>
      </c>
      <c r="E43" s="311">
        <v>100</v>
      </c>
      <c r="F43" s="195">
        <f t="shared" si="19"/>
        <v>40000000</v>
      </c>
      <c r="G43" s="192"/>
      <c r="H43" s="189">
        <v>10000000</v>
      </c>
      <c r="I43" s="179">
        <v>30000000</v>
      </c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213"/>
    </row>
    <row r="44" spans="1:75" ht="114" customHeight="1" x14ac:dyDescent="0.25">
      <c r="A44" s="27" t="s">
        <v>156</v>
      </c>
      <c r="B44" s="310" t="s">
        <v>157</v>
      </c>
      <c r="C44" s="10" t="s">
        <v>65</v>
      </c>
      <c r="D44" s="310" t="s">
        <v>158</v>
      </c>
      <c r="E44" s="311">
        <v>1</v>
      </c>
      <c r="F44" s="195">
        <f t="shared" si="19"/>
        <v>100000000</v>
      </c>
      <c r="G44" s="192"/>
      <c r="H44" s="179">
        <v>50000000</v>
      </c>
      <c r="I44" s="179">
        <v>50000000</v>
      </c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213"/>
    </row>
    <row r="45" spans="1:75" s="20" customFormat="1" ht="29.25" customHeight="1" x14ac:dyDescent="0.25">
      <c r="A45" s="18" t="s">
        <v>159</v>
      </c>
      <c r="B45" s="18" t="s">
        <v>160</v>
      </c>
      <c r="C45" s="356"/>
      <c r="D45" s="356"/>
      <c r="E45" s="19"/>
      <c r="F45" s="176">
        <f t="shared" si="19"/>
        <v>364685400</v>
      </c>
      <c r="G45" s="176">
        <f t="shared" ref="G45:AL45" si="20">+G46+G56</f>
        <v>0</v>
      </c>
      <c r="H45" s="176">
        <f t="shared" si="20"/>
        <v>274685400</v>
      </c>
      <c r="I45" s="176">
        <f t="shared" si="20"/>
        <v>40000000</v>
      </c>
      <c r="J45" s="176">
        <f t="shared" si="20"/>
        <v>0</v>
      </c>
      <c r="K45" s="176">
        <f t="shared" si="20"/>
        <v>0</v>
      </c>
      <c r="L45" s="176">
        <f t="shared" si="20"/>
        <v>0</v>
      </c>
      <c r="M45" s="176">
        <f t="shared" si="20"/>
        <v>0</v>
      </c>
      <c r="N45" s="176">
        <f t="shared" si="20"/>
        <v>13824046</v>
      </c>
      <c r="O45" s="176">
        <f t="shared" si="20"/>
        <v>0</v>
      </c>
      <c r="P45" s="176">
        <f t="shared" si="20"/>
        <v>0</v>
      </c>
      <c r="Q45" s="176">
        <f t="shared" si="20"/>
        <v>0</v>
      </c>
      <c r="R45" s="176">
        <f t="shared" si="20"/>
        <v>0</v>
      </c>
      <c r="S45" s="176">
        <f t="shared" si="20"/>
        <v>0</v>
      </c>
      <c r="T45" s="176">
        <f t="shared" si="20"/>
        <v>0</v>
      </c>
      <c r="U45" s="176">
        <f t="shared" si="20"/>
        <v>0</v>
      </c>
      <c r="V45" s="176">
        <f t="shared" si="20"/>
        <v>0</v>
      </c>
      <c r="W45" s="176">
        <f t="shared" si="20"/>
        <v>0</v>
      </c>
      <c r="X45" s="176">
        <f t="shared" si="20"/>
        <v>0</v>
      </c>
      <c r="Y45" s="176">
        <f t="shared" si="20"/>
        <v>0</v>
      </c>
      <c r="Z45" s="176">
        <f t="shared" si="20"/>
        <v>0</v>
      </c>
      <c r="AA45" s="176">
        <f t="shared" si="20"/>
        <v>36175954</v>
      </c>
      <c r="AB45" s="176">
        <f t="shared" si="20"/>
        <v>0</v>
      </c>
      <c r="AC45" s="176">
        <f t="shared" si="20"/>
        <v>0</v>
      </c>
      <c r="AD45" s="176">
        <f t="shared" si="20"/>
        <v>0</v>
      </c>
      <c r="AE45" s="176">
        <f t="shared" si="20"/>
        <v>0</v>
      </c>
      <c r="AF45" s="176">
        <f t="shared" si="20"/>
        <v>0</v>
      </c>
      <c r="AG45" s="176">
        <f t="shared" si="20"/>
        <v>0</v>
      </c>
      <c r="AH45" s="176">
        <f t="shared" si="20"/>
        <v>0</v>
      </c>
      <c r="AI45" s="176">
        <f t="shared" si="20"/>
        <v>0</v>
      </c>
      <c r="AJ45" s="176">
        <f t="shared" si="20"/>
        <v>0</v>
      </c>
      <c r="AK45" s="176">
        <f t="shared" si="20"/>
        <v>0</v>
      </c>
      <c r="AL45" s="176">
        <f t="shared" si="20"/>
        <v>0</v>
      </c>
      <c r="AM45" s="176">
        <f t="shared" ref="AM45:BB45" si="21">+AM46+AM56</f>
        <v>0</v>
      </c>
      <c r="AN45" s="176">
        <f t="shared" si="21"/>
        <v>0</v>
      </c>
      <c r="AO45" s="176">
        <f t="shared" si="21"/>
        <v>0</v>
      </c>
      <c r="AP45" s="176">
        <f t="shared" si="21"/>
        <v>0</v>
      </c>
      <c r="AQ45" s="176">
        <f t="shared" si="21"/>
        <v>0</v>
      </c>
      <c r="AR45" s="176">
        <f t="shared" si="21"/>
        <v>0</v>
      </c>
      <c r="AS45" s="176">
        <f t="shared" si="21"/>
        <v>0</v>
      </c>
      <c r="AT45" s="176">
        <f t="shared" si="21"/>
        <v>0</v>
      </c>
      <c r="AU45" s="176">
        <f t="shared" si="21"/>
        <v>0</v>
      </c>
      <c r="AV45" s="176">
        <f t="shared" si="21"/>
        <v>0</v>
      </c>
      <c r="AW45" s="176">
        <f t="shared" si="21"/>
        <v>0</v>
      </c>
      <c r="AX45" s="176">
        <f t="shared" si="21"/>
        <v>0</v>
      </c>
      <c r="AY45" s="176">
        <f t="shared" si="21"/>
        <v>0</v>
      </c>
      <c r="AZ45" s="176">
        <f t="shared" si="21"/>
        <v>0</v>
      </c>
      <c r="BA45" s="176">
        <f t="shared" si="21"/>
        <v>0</v>
      </c>
      <c r="BB45" s="188">
        <f t="shared" si="21"/>
        <v>0</v>
      </c>
      <c r="BC45" s="189"/>
      <c r="BD45" s="189"/>
      <c r="BE45" s="189"/>
      <c r="BF45" s="189"/>
      <c r="BG45" s="189"/>
      <c r="BH45" s="189"/>
      <c r="BI45" s="189"/>
      <c r="BJ45" s="189"/>
      <c r="BK45" s="189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 s="215" customFormat="1" ht="17.25" customHeight="1" x14ac:dyDescent="0.25">
      <c r="A46" s="21" t="s">
        <v>161</v>
      </c>
      <c r="B46" s="22" t="s">
        <v>162</v>
      </c>
      <c r="C46" s="21" t="s">
        <v>163</v>
      </c>
      <c r="D46" s="22">
        <v>3203</v>
      </c>
      <c r="E46" s="21"/>
      <c r="F46" s="178">
        <f t="shared" si="19"/>
        <v>159223600</v>
      </c>
      <c r="G46" s="178">
        <f t="shared" ref="G46:AL46" si="22">SUM(G48:G55)</f>
        <v>0</v>
      </c>
      <c r="H46" s="178">
        <f t="shared" si="22"/>
        <v>159223600</v>
      </c>
      <c r="I46" s="178">
        <f t="shared" si="22"/>
        <v>0</v>
      </c>
      <c r="J46" s="178">
        <f t="shared" si="22"/>
        <v>0</v>
      </c>
      <c r="K46" s="178">
        <f t="shared" si="22"/>
        <v>0</v>
      </c>
      <c r="L46" s="178">
        <f t="shared" si="22"/>
        <v>0</v>
      </c>
      <c r="M46" s="178">
        <f t="shared" si="22"/>
        <v>0</v>
      </c>
      <c r="N46" s="178">
        <f t="shared" si="22"/>
        <v>0</v>
      </c>
      <c r="O46" s="178">
        <f t="shared" si="22"/>
        <v>0</v>
      </c>
      <c r="P46" s="178">
        <f t="shared" si="22"/>
        <v>0</v>
      </c>
      <c r="Q46" s="178">
        <f t="shared" si="22"/>
        <v>0</v>
      </c>
      <c r="R46" s="178">
        <f t="shared" si="22"/>
        <v>0</v>
      </c>
      <c r="S46" s="178">
        <f t="shared" si="22"/>
        <v>0</v>
      </c>
      <c r="T46" s="178">
        <f t="shared" si="22"/>
        <v>0</v>
      </c>
      <c r="U46" s="178">
        <f t="shared" si="22"/>
        <v>0</v>
      </c>
      <c r="V46" s="178">
        <f t="shared" si="22"/>
        <v>0</v>
      </c>
      <c r="W46" s="178">
        <f t="shared" si="22"/>
        <v>0</v>
      </c>
      <c r="X46" s="178">
        <f t="shared" si="22"/>
        <v>0</v>
      </c>
      <c r="Y46" s="178">
        <f t="shared" si="22"/>
        <v>0</v>
      </c>
      <c r="Z46" s="178">
        <f t="shared" si="22"/>
        <v>0</v>
      </c>
      <c r="AA46" s="178">
        <f t="shared" si="22"/>
        <v>0</v>
      </c>
      <c r="AB46" s="178">
        <f t="shared" si="22"/>
        <v>0</v>
      </c>
      <c r="AC46" s="178">
        <f t="shared" si="22"/>
        <v>0</v>
      </c>
      <c r="AD46" s="178">
        <f t="shared" si="22"/>
        <v>0</v>
      </c>
      <c r="AE46" s="178">
        <f t="shared" si="22"/>
        <v>0</v>
      </c>
      <c r="AF46" s="178">
        <f t="shared" si="22"/>
        <v>0</v>
      </c>
      <c r="AG46" s="178">
        <f t="shared" si="22"/>
        <v>0</v>
      </c>
      <c r="AH46" s="178">
        <f t="shared" si="22"/>
        <v>0</v>
      </c>
      <c r="AI46" s="178">
        <f t="shared" si="22"/>
        <v>0</v>
      </c>
      <c r="AJ46" s="178">
        <f t="shared" si="22"/>
        <v>0</v>
      </c>
      <c r="AK46" s="178">
        <f t="shared" si="22"/>
        <v>0</v>
      </c>
      <c r="AL46" s="178">
        <f t="shared" si="22"/>
        <v>0</v>
      </c>
      <c r="AM46" s="178">
        <f t="shared" ref="AM46:BB46" si="23">SUM(AM48:AM55)</f>
        <v>0</v>
      </c>
      <c r="AN46" s="178">
        <f t="shared" si="23"/>
        <v>0</v>
      </c>
      <c r="AO46" s="178">
        <f t="shared" si="23"/>
        <v>0</v>
      </c>
      <c r="AP46" s="178">
        <f t="shared" si="23"/>
        <v>0</v>
      </c>
      <c r="AQ46" s="178">
        <f t="shared" si="23"/>
        <v>0</v>
      </c>
      <c r="AR46" s="178">
        <f t="shared" si="23"/>
        <v>0</v>
      </c>
      <c r="AS46" s="178">
        <f t="shared" si="23"/>
        <v>0</v>
      </c>
      <c r="AT46" s="178">
        <f t="shared" si="23"/>
        <v>0</v>
      </c>
      <c r="AU46" s="178">
        <f t="shared" si="23"/>
        <v>0</v>
      </c>
      <c r="AV46" s="178">
        <f t="shared" si="23"/>
        <v>0</v>
      </c>
      <c r="AW46" s="178">
        <f t="shared" si="23"/>
        <v>0</v>
      </c>
      <c r="AX46" s="178">
        <f t="shared" si="23"/>
        <v>0</v>
      </c>
      <c r="AY46" s="178">
        <f t="shared" si="23"/>
        <v>0</v>
      </c>
      <c r="AZ46" s="178">
        <f t="shared" si="23"/>
        <v>0</v>
      </c>
      <c r="BA46" s="178">
        <f t="shared" si="23"/>
        <v>0</v>
      </c>
      <c r="BB46" s="193">
        <f t="shared" si="23"/>
        <v>0</v>
      </c>
      <c r="BC46" s="216"/>
      <c r="BD46" s="216"/>
      <c r="BE46" s="216"/>
      <c r="BF46" s="216"/>
      <c r="BG46" s="216"/>
      <c r="BH46" s="216"/>
      <c r="BI46" s="216"/>
      <c r="BJ46" s="216"/>
      <c r="BK46" s="216"/>
      <c r="BL46" s="214"/>
      <c r="BM46" s="214"/>
      <c r="BN46" s="214"/>
      <c r="BO46" s="214"/>
      <c r="BP46" s="214"/>
      <c r="BQ46" s="214"/>
      <c r="BR46" s="214"/>
      <c r="BS46" s="214"/>
      <c r="BT46" s="214"/>
      <c r="BU46" s="214"/>
      <c r="BV46" s="214"/>
      <c r="BW46" s="214"/>
    </row>
    <row r="47" spans="1:75" s="212" customFormat="1" ht="34.5" customHeight="1" x14ac:dyDescent="0.25">
      <c r="A47" s="24" t="s">
        <v>57</v>
      </c>
      <c r="B47" s="25" t="s">
        <v>58</v>
      </c>
      <c r="C47" s="25" t="s">
        <v>59</v>
      </c>
      <c r="D47" s="25" t="s">
        <v>60</v>
      </c>
      <c r="E47" s="25" t="s">
        <v>61</v>
      </c>
      <c r="F47" s="26" t="s">
        <v>62</v>
      </c>
      <c r="G47" s="191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211"/>
      <c r="BC47" s="189"/>
      <c r="BD47" s="189"/>
      <c r="BE47" s="189"/>
      <c r="BF47" s="189"/>
      <c r="BG47" s="189"/>
      <c r="BH47" s="189"/>
      <c r="BI47" s="189"/>
      <c r="BJ47" s="189"/>
      <c r="BK47" s="189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 ht="59.25" customHeight="1" x14ac:dyDescent="0.25">
      <c r="A48" s="27" t="s">
        <v>164</v>
      </c>
      <c r="B48" s="320" t="s">
        <v>165</v>
      </c>
      <c r="C48" s="27" t="s">
        <v>154</v>
      </c>
      <c r="D48" s="27" t="s">
        <v>166</v>
      </c>
      <c r="E48" s="311"/>
      <c r="F48" s="195">
        <f t="shared" ref="F48:F56" si="24">SUM(H48:BB48)</f>
        <v>0</v>
      </c>
      <c r="G48" s="192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213"/>
    </row>
    <row r="49" spans="1:75" ht="47.25" customHeight="1" x14ac:dyDescent="0.25">
      <c r="A49" s="27" t="s">
        <v>167</v>
      </c>
      <c r="B49" s="310" t="s">
        <v>168</v>
      </c>
      <c r="C49" s="27" t="s">
        <v>65</v>
      </c>
      <c r="D49" s="27" t="s">
        <v>169</v>
      </c>
      <c r="E49" s="311"/>
      <c r="F49" s="195">
        <f t="shared" si="24"/>
        <v>0</v>
      </c>
      <c r="G49" s="192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213"/>
    </row>
    <row r="50" spans="1:75" ht="72.75" customHeight="1" x14ac:dyDescent="0.25">
      <c r="A50" s="27" t="s">
        <v>170</v>
      </c>
      <c r="B50" s="321" t="s">
        <v>171</v>
      </c>
      <c r="C50" s="27" t="s">
        <v>65</v>
      </c>
      <c r="D50" s="10" t="s">
        <v>172</v>
      </c>
      <c r="E50" s="30">
        <v>28</v>
      </c>
      <c r="F50" s="195">
        <f t="shared" si="24"/>
        <v>37111800</v>
      </c>
      <c r="G50" s="192"/>
      <c r="H50" s="322">
        <v>37111800</v>
      </c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213"/>
    </row>
    <row r="51" spans="1:75" ht="82.5" customHeight="1" x14ac:dyDescent="0.25">
      <c r="A51" s="27" t="s">
        <v>173</v>
      </c>
      <c r="B51" s="320" t="s">
        <v>174</v>
      </c>
      <c r="C51" s="27" t="s">
        <v>65</v>
      </c>
      <c r="D51" s="10" t="s">
        <v>175</v>
      </c>
      <c r="E51" s="311">
        <v>27</v>
      </c>
      <c r="F51" s="195">
        <f t="shared" si="24"/>
        <v>37111800</v>
      </c>
      <c r="G51" s="192"/>
      <c r="H51" s="179">
        <v>37111800</v>
      </c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213"/>
    </row>
    <row r="52" spans="1:75" ht="41.25" customHeight="1" x14ac:dyDescent="0.2">
      <c r="A52" s="27" t="s">
        <v>176</v>
      </c>
      <c r="B52" s="323" t="s">
        <v>177</v>
      </c>
      <c r="C52" s="27" t="s">
        <v>65</v>
      </c>
      <c r="D52" s="11" t="s">
        <v>178</v>
      </c>
      <c r="E52" s="311">
        <v>1</v>
      </c>
      <c r="F52" s="195">
        <f t="shared" si="24"/>
        <v>0</v>
      </c>
      <c r="G52" s="192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213"/>
    </row>
    <row r="53" spans="1:75" ht="46.5" customHeight="1" x14ac:dyDescent="0.25">
      <c r="A53" s="27" t="s">
        <v>179</v>
      </c>
      <c r="B53" s="320" t="s">
        <v>180</v>
      </c>
      <c r="C53" s="27" t="s">
        <v>65</v>
      </c>
      <c r="D53" s="11" t="s">
        <v>181</v>
      </c>
      <c r="E53" s="311"/>
      <c r="F53" s="195">
        <f t="shared" si="24"/>
        <v>0</v>
      </c>
      <c r="G53" s="192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213"/>
    </row>
    <row r="54" spans="1:75" ht="36" customHeight="1" x14ac:dyDescent="0.25">
      <c r="A54" s="27" t="s">
        <v>182</v>
      </c>
      <c r="B54" s="320" t="s">
        <v>183</v>
      </c>
      <c r="C54" s="27" t="s">
        <v>65</v>
      </c>
      <c r="D54" s="11" t="s">
        <v>184</v>
      </c>
      <c r="E54" s="311">
        <v>1</v>
      </c>
      <c r="F54" s="195">
        <f t="shared" si="24"/>
        <v>85000000</v>
      </c>
      <c r="G54" s="192"/>
      <c r="H54" s="179">
        <v>85000000</v>
      </c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  <c r="AK54" s="179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213"/>
    </row>
    <row r="55" spans="1:75" ht="53.25" customHeight="1" x14ac:dyDescent="0.25">
      <c r="A55" s="27" t="s">
        <v>185</v>
      </c>
      <c r="B55" s="320" t="s">
        <v>186</v>
      </c>
      <c r="C55" s="27" t="s">
        <v>65</v>
      </c>
      <c r="D55" s="11" t="s">
        <v>187</v>
      </c>
      <c r="E55" s="311"/>
      <c r="F55" s="195">
        <f t="shared" si="24"/>
        <v>0</v>
      </c>
      <c r="G55" s="192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213"/>
    </row>
    <row r="56" spans="1:75" s="215" customFormat="1" ht="36" customHeight="1" x14ac:dyDescent="0.25">
      <c r="A56" s="21" t="s">
        <v>188</v>
      </c>
      <c r="B56" s="22" t="s">
        <v>189</v>
      </c>
      <c r="C56" s="22" t="s">
        <v>163</v>
      </c>
      <c r="D56" s="21">
        <v>3205</v>
      </c>
      <c r="E56" s="21"/>
      <c r="F56" s="178">
        <f t="shared" si="24"/>
        <v>205461800</v>
      </c>
      <c r="G56" s="178">
        <f>SUM(G61:G64)</f>
        <v>0</v>
      </c>
      <c r="H56" s="178">
        <f t="shared" ref="H56:BB56" si="25">SUM(H58:H64)</f>
        <v>115461800</v>
      </c>
      <c r="I56" s="178">
        <f t="shared" si="25"/>
        <v>40000000</v>
      </c>
      <c r="J56" s="178">
        <f t="shared" si="25"/>
        <v>0</v>
      </c>
      <c r="K56" s="178">
        <f t="shared" si="25"/>
        <v>0</v>
      </c>
      <c r="L56" s="178">
        <f t="shared" si="25"/>
        <v>0</v>
      </c>
      <c r="M56" s="178">
        <f t="shared" si="25"/>
        <v>0</v>
      </c>
      <c r="N56" s="178">
        <f t="shared" si="25"/>
        <v>13824046</v>
      </c>
      <c r="O56" s="178">
        <f t="shared" si="25"/>
        <v>0</v>
      </c>
      <c r="P56" s="178">
        <f t="shared" si="25"/>
        <v>0</v>
      </c>
      <c r="Q56" s="178">
        <f t="shared" si="25"/>
        <v>0</v>
      </c>
      <c r="R56" s="178">
        <f t="shared" si="25"/>
        <v>0</v>
      </c>
      <c r="S56" s="178">
        <f t="shared" si="25"/>
        <v>0</v>
      </c>
      <c r="T56" s="178">
        <f t="shared" si="25"/>
        <v>0</v>
      </c>
      <c r="U56" s="178">
        <f t="shared" si="25"/>
        <v>0</v>
      </c>
      <c r="V56" s="178">
        <f t="shared" si="25"/>
        <v>0</v>
      </c>
      <c r="W56" s="178">
        <f t="shared" si="25"/>
        <v>0</v>
      </c>
      <c r="X56" s="178">
        <f t="shared" si="25"/>
        <v>0</v>
      </c>
      <c r="Y56" s="178">
        <f t="shared" si="25"/>
        <v>0</v>
      </c>
      <c r="Z56" s="178">
        <f t="shared" si="25"/>
        <v>0</v>
      </c>
      <c r="AA56" s="178">
        <f t="shared" si="25"/>
        <v>36175954</v>
      </c>
      <c r="AB56" s="178">
        <f t="shared" si="25"/>
        <v>0</v>
      </c>
      <c r="AC56" s="178">
        <f t="shared" si="25"/>
        <v>0</v>
      </c>
      <c r="AD56" s="178">
        <f t="shared" si="25"/>
        <v>0</v>
      </c>
      <c r="AE56" s="178">
        <f t="shared" si="25"/>
        <v>0</v>
      </c>
      <c r="AF56" s="178">
        <f t="shared" si="25"/>
        <v>0</v>
      </c>
      <c r="AG56" s="178">
        <f t="shared" si="25"/>
        <v>0</v>
      </c>
      <c r="AH56" s="178">
        <f t="shared" si="25"/>
        <v>0</v>
      </c>
      <c r="AI56" s="178">
        <f t="shared" si="25"/>
        <v>0</v>
      </c>
      <c r="AJ56" s="178">
        <f t="shared" si="25"/>
        <v>0</v>
      </c>
      <c r="AK56" s="178">
        <f t="shared" si="25"/>
        <v>0</v>
      </c>
      <c r="AL56" s="178">
        <f t="shared" si="25"/>
        <v>0</v>
      </c>
      <c r="AM56" s="178">
        <f t="shared" si="25"/>
        <v>0</v>
      </c>
      <c r="AN56" s="178">
        <f t="shared" si="25"/>
        <v>0</v>
      </c>
      <c r="AO56" s="178">
        <f t="shared" si="25"/>
        <v>0</v>
      </c>
      <c r="AP56" s="178">
        <f t="shared" si="25"/>
        <v>0</v>
      </c>
      <c r="AQ56" s="178">
        <f t="shared" si="25"/>
        <v>0</v>
      </c>
      <c r="AR56" s="178">
        <f t="shared" si="25"/>
        <v>0</v>
      </c>
      <c r="AS56" s="178">
        <f t="shared" si="25"/>
        <v>0</v>
      </c>
      <c r="AT56" s="178">
        <f t="shared" si="25"/>
        <v>0</v>
      </c>
      <c r="AU56" s="178">
        <f t="shared" si="25"/>
        <v>0</v>
      </c>
      <c r="AV56" s="178">
        <f t="shared" si="25"/>
        <v>0</v>
      </c>
      <c r="AW56" s="178">
        <f t="shared" si="25"/>
        <v>0</v>
      </c>
      <c r="AX56" s="178">
        <f t="shared" si="25"/>
        <v>0</v>
      </c>
      <c r="AY56" s="178">
        <f t="shared" si="25"/>
        <v>0</v>
      </c>
      <c r="AZ56" s="178">
        <f t="shared" si="25"/>
        <v>0</v>
      </c>
      <c r="BA56" s="178">
        <f t="shared" si="25"/>
        <v>0</v>
      </c>
      <c r="BB56" s="178">
        <f t="shared" si="25"/>
        <v>0</v>
      </c>
      <c r="BC56" s="216"/>
      <c r="BD56" s="216"/>
      <c r="BE56" s="216"/>
      <c r="BF56" s="216"/>
      <c r="BG56" s="216"/>
      <c r="BH56" s="216"/>
      <c r="BI56" s="216"/>
      <c r="BJ56" s="216"/>
      <c r="BK56" s="216"/>
      <c r="BL56" s="214"/>
      <c r="BM56" s="214"/>
      <c r="BN56" s="214"/>
      <c r="BO56" s="214"/>
      <c r="BP56" s="214"/>
      <c r="BQ56" s="214"/>
      <c r="BR56" s="214"/>
      <c r="BS56" s="214"/>
      <c r="BT56" s="214"/>
      <c r="BU56" s="214"/>
      <c r="BV56" s="214"/>
      <c r="BW56" s="214"/>
    </row>
    <row r="57" spans="1:75" s="212" customFormat="1" ht="34.5" customHeight="1" x14ac:dyDescent="0.25">
      <c r="A57" s="24" t="s">
        <v>57</v>
      </c>
      <c r="B57" s="25" t="s">
        <v>58</v>
      </c>
      <c r="C57" s="25" t="s">
        <v>59</v>
      </c>
      <c r="D57" s="25" t="s">
        <v>60</v>
      </c>
      <c r="E57" s="219" t="s">
        <v>61</v>
      </c>
      <c r="F57" s="26" t="s">
        <v>62</v>
      </c>
      <c r="G57" s="191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211"/>
      <c r="BC57" s="189"/>
      <c r="BD57" s="189"/>
      <c r="BE57" s="189"/>
      <c r="BF57" s="189"/>
      <c r="BG57" s="189"/>
      <c r="BH57" s="189"/>
      <c r="BI57" s="189"/>
      <c r="BJ57" s="189"/>
      <c r="BK57" s="189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</row>
    <row r="58" spans="1:75" ht="63.75" customHeight="1" x14ac:dyDescent="0.25">
      <c r="A58" s="324" t="s">
        <v>190</v>
      </c>
      <c r="B58" s="310" t="s">
        <v>191</v>
      </c>
      <c r="C58" s="325" t="s">
        <v>65</v>
      </c>
      <c r="D58" s="325" t="s">
        <v>192</v>
      </c>
      <c r="E58" s="326">
        <v>4</v>
      </c>
      <c r="F58" s="195">
        <f t="shared" ref="F58:F67" si="26">SUM(H58:BB58)</f>
        <v>0</v>
      </c>
      <c r="G58" s="197"/>
      <c r="H58" s="179"/>
      <c r="I58" s="13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213"/>
    </row>
    <row r="59" spans="1:75" ht="105.75" customHeight="1" x14ac:dyDescent="0.25">
      <c r="A59" s="324" t="s">
        <v>193</v>
      </c>
      <c r="B59" s="310" t="s">
        <v>194</v>
      </c>
      <c r="C59" s="325" t="s">
        <v>65</v>
      </c>
      <c r="D59" s="325" t="s">
        <v>195</v>
      </c>
      <c r="E59" s="328">
        <v>1</v>
      </c>
      <c r="F59" s="195">
        <f t="shared" si="26"/>
        <v>60000000</v>
      </c>
      <c r="G59" s="197"/>
      <c r="H59" s="179">
        <v>20000000</v>
      </c>
      <c r="I59" s="179">
        <v>40000000</v>
      </c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213"/>
    </row>
    <row r="60" spans="1:75" ht="73.5" customHeight="1" x14ac:dyDescent="0.25">
      <c r="A60" s="324" t="s">
        <v>196</v>
      </c>
      <c r="B60" s="310" t="s">
        <v>197</v>
      </c>
      <c r="C60" s="325" t="s">
        <v>65</v>
      </c>
      <c r="D60" s="325" t="s">
        <v>198</v>
      </c>
      <c r="E60" s="329">
        <v>5</v>
      </c>
      <c r="F60" s="195">
        <f t="shared" si="26"/>
        <v>50000000</v>
      </c>
      <c r="G60" s="197"/>
      <c r="H60" s="179"/>
      <c r="I60" s="179"/>
      <c r="J60" s="179"/>
      <c r="K60" s="179"/>
      <c r="L60" s="179"/>
      <c r="M60" s="179"/>
      <c r="N60" s="179">
        <v>13824046</v>
      </c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>
        <v>36175954</v>
      </c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213"/>
    </row>
    <row r="61" spans="1:75" ht="67.5" customHeight="1" x14ac:dyDescent="0.25">
      <c r="A61" s="324" t="s">
        <v>199</v>
      </c>
      <c r="B61" s="310" t="s">
        <v>200</v>
      </c>
      <c r="C61" s="325" t="s">
        <v>154</v>
      </c>
      <c r="D61" s="325" t="s">
        <v>201</v>
      </c>
      <c r="E61" s="311">
        <v>100</v>
      </c>
      <c r="F61" s="195">
        <f t="shared" si="26"/>
        <v>60000000</v>
      </c>
      <c r="G61" s="192"/>
      <c r="H61" s="179">
        <v>60000000</v>
      </c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213"/>
    </row>
    <row r="62" spans="1:75" ht="55.5" customHeight="1" x14ac:dyDescent="0.25">
      <c r="A62" s="324" t="s">
        <v>202</v>
      </c>
      <c r="B62" s="310" t="s">
        <v>203</v>
      </c>
      <c r="C62" s="325" t="s">
        <v>65</v>
      </c>
      <c r="D62" s="325" t="s">
        <v>204</v>
      </c>
      <c r="E62" s="311"/>
      <c r="F62" s="195">
        <f t="shared" si="26"/>
        <v>0</v>
      </c>
      <c r="G62" s="192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213"/>
    </row>
    <row r="63" spans="1:75" ht="80.25" customHeight="1" x14ac:dyDescent="0.25">
      <c r="A63" s="324" t="s">
        <v>205</v>
      </c>
      <c r="B63" s="310" t="s">
        <v>206</v>
      </c>
      <c r="C63" s="10" t="s">
        <v>65</v>
      </c>
      <c r="D63" s="10" t="s">
        <v>207</v>
      </c>
      <c r="E63" s="311">
        <v>13</v>
      </c>
      <c r="F63" s="195">
        <f t="shared" si="26"/>
        <v>35461800</v>
      </c>
      <c r="G63" s="192"/>
      <c r="H63" s="330">
        <v>35461800</v>
      </c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213"/>
    </row>
    <row r="64" spans="1:75" ht="94.5" customHeight="1" x14ac:dyDescent="0.25">
      <c r="A64" s="324" t="s">
        <v>208</v>
      </c>
      <c r="B64" s="310" t="s">
        <v>209</v>
      </c>
      <c r="C64" s="10" t="s">
        <v>65</v>
      </c>
      <c r="D64" s="10" t="s">
        <v>210</v>
      </c>
      <c r="E64" s="311"/>
      <c r="F64" s="195">
        <f t="shared" si="26"/>
        <v>0</v>
      </c>
      <c r="G64" s="192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213"/>
    </row>
    <row r="65" spans="1:75" s="209" customFormat="1" ht="26.25" customHeight="1" x14ac:dyDescent="0.25">
      <c r="A65" s="16" t="s">
        <v>211</v>
      </c>
      <c r="B65" s="16" t="s">
        <v>212</v>
      </c>
      <c r="C65" s="357"/>
      <c r="D65" s="357"/>
      <c r="E65" s="17"/>
      <c r="F65" s="175">
        <f t="shared" si="26"/>
        <v>3184741534</v>
      </c>
      <c r="G65" s="175">
        <f>+G66+G83</f>
        <v>0</v>
      </c>
      <c r="H65" s="175">
        <f>+H66+H83</f>
        <v>465098096</v>
      </c>
      <c r="I65" s="175">
        <f t="shared" ref="I65:L65" si="27">+I66+I83</f>
        <v>156620209</v>
      </c>
      <c r="J65" s="175">
        <f t="shared" si="27"/>
        <v>732814227</v>
      </c>
      <c r="K65" s="175">
        <f t="shared" si="27"/>
        <v>150998827</v>
      </c>
      <c r="L65" s="175">
        <f t="shared" si="27"/>
        <v>0</v>
      </c>
      <c r="M65" s="175">
        <f t="shared" ref="M65:R65" si="28">+M66+M83</f>
        <v>0</v>
      </c>
      <c r="N65" s="175">
        <f t="shared" si="28"/>
        <v>0</v>
      </c>
      <c r="O65" s="175">
        <f t="shared" si="28"/>
        <v>0</v>
      </c>
      <c r="P65" s="175">
        <f t="shared" si="28"/>
        <v>0</v>
      </c>
      <c r="Q65" s="175">
        <f t="shared" si="28"/>
        <v>0</v>
      </c>
      <c r="R65" s="175">
        <f t="shared" si="28"/>
        <v>0</v>
      </c>
      <c r="S65" s="175">
        <f t="shared" ref="S65:W65" si="29">+S66+S83</f>
        <v>0</v>
      </c>
      <c r="T65" s="175">
        <f t="shared" si="29"/>
        <v>0</v>
      </c>
      <c r="U65" s="175">
        <f t="shared" si="29"/>
        <v>0</v>
      </c>
      <c r="V65" s="175">
        <f t="shared" si="29"/>
        <v>0</v>
      </c>
      <c r="W65" s="175">
        <f t="shared" si="29"/>
        <v>0</v>
      </c>
      <c r="X65" s="175">
        <f t="shared" ref="X65:BB65" si="30">+X66+X83</f>
        <v>0</v>
      </c>
      <c r="Y65" s="175">
        <f t="shared" si="30"/>
        <v>1053181097</v>
      </c>
      <c r="Z65" s="175">
        <f t="shared" si="30"/>
        <v>61500549</v>
      </c>
      <c r="AA65" s="175">
        <f t="shared" si="30"/>
        <v>0</v>
      </c>
      <c r="AB65" s="175">
        <f t="shared" si="30"/>
        <v>0</v>
      </c>
      <c r="AC65" s="175">
        <f t="shared" si="30"/>
        <v>38267442</v>
      </c>
      <c r="AD65" s="175">
        <f t="shared" si="30"/>
        <v>71100000</v>
      </c>
      <c r="AE65" s="175">
        <f t="shared" si="30"/>
        <v>23871272</v>
      </c>
      <c r="AF65" s="175">
        <f t="shared" si="30"/>
        <v>0</v>
      </c>
      <c r="AG65" s="175">
        <f t="shared" si="30"/>
        <v>0</v>
      </c>
      <c r="AH65" s="175">
        <f t="shared" si="30"/>
        <v>0</v>
      </c>
      <c r="AI65" s="175">
        <f t="shared" si="30"/>
        <v>0</v>
      </c>
      <c r="AJ65" s="175">
        <f t="shared" si="30"/>
        <v>0</v>
      </c>
      <c r="AK65" s="175">
        <f t="shared" si="30"/>
        <v>0</v>
      </c>
      <c r="AL65" s="175">
        <f t="shared" si="30"/>
        <v>0</v>
      </c>
      <c r="AM65" s="175">
        <f t="shared" si="30"/>
        <v>0</v>
      </c>
      <c r="AN65" s="175">
        <f t="shared" si="30"/>
        <v>0</v>
      </c>
      <c r="AO65" s="175">
        <f t="shared" si="30"/>
        <v>187189821</v>
      </c>
      <c r="AP65" s="175">
        <f t="shared" si="30"/>
        <v>156175954</v>
      </c>
      <c r="AQ65" s="175">
        <f t="shared" si="30"/>
        <v>0</v>
      </c>
      <c r="AR65" s="175">
        <f t="shared" si="30"/>
        <v>0</v>
      </c>
      <c r="AS65" s="175">
        <f t="shared" si="30"/>
        <v>0</v>
      </c>
      <c r="AT65" s="175">
        <f t="shared" si="30"/>
        <v>67000979</v>
      </c>
      <c r="AU65" s="175">
        <f t="shared" si="30"/>
        <v>0</v>
      </c>
      <c r="AV65" s="175">
        <f t="shared" si="30"/>
        <v>0</v>
      </c>
      <c r="AW65" s="175">
        <f t="shared" si="30"/>
        <v>0</v>
      </c>
      <c r="AX65" s="175">
        <f t="shared" si="30"/>
        <v>0</v>
      </c>
      <c r="AY65" s="175">
        <f t="shared" si="30"/>
        <v>0</v>
      </c>
      <c r="AZ65" s="175">
        <f t="shared" si="30"/>
        <v>0</v>
      </c>
      <c r="BA65" s="175">
        <f t="shared" si="30"/>
        <v>20923061</v>
      </c>
      <c r="BB65" s="187">
        <f t="shared" si="30"/>
        <v>0</v>
      </c>
      <c r="BC65" s="189"/>
      <c r="BD65" s="189"/>
      <c r="BE65" s="189"/>
      <c r="BF65" s="189"/>
      <c r="BG65" s="189"/>
      <c r="BH65" s="189"/>
      <c r="BI65" s="189"/>
      <c r="BJ65" s="189"/>
      <c r="BK65" s="189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</row>
    <row r="66" spans="1:75" s="20" customFormat="1" ht="13.5" customHeight="1" x14ac:dyDescent="0.25">
      <c r="A66" s="18" t="s">
        <v>213</v>
      </c>
      <c r="B66" s="18" t="s">
        <v>214</v>
      </c>
      <c r="C66" s="356"/>
      <c r="D66" s="356"/>
      <c r="E66" s="19"/>
      <c r="F66" s="176">
        <f t="shared" si="26"/>
        <v>2754081534</v>
      </c>
      <c r="G66" s="176">
        <f>+G67+G76</f>
        <v>0</v>
      </c>
      <c r="H66" s="176">
        <f>+H67+H76</f>
        <v>342565773</v>
      </c>
      <c r="I66" s="176">
        <f t="shared" ref="I66:L66" si="31">+I67+I76</f>
        <v>110000000</v>
      </c>
      <c r="J66" s="176">
        <f t="shared" si="31"/>
        <v>732814227</v>
      </c>
      <c r="K66" s="176">
        <f t="shared" si="31"/>
        <v>70000000</v>
      </c>
      <c r="L66" s="176">
        <f t="shared" si="31"/>
        <v>0</v>
      </c>
      <c r="M66" s="176">
        <f t="shared" ref="M66:R66" si="32">+M67+M76</f>
        <v>0</v>
      </c>
      <c r="N66" s="176">
        <f t="shared" si="32"/>
        <v>0</v>
      </c>
      <c r="O66" s="176">
        <f t="shared" si="32"/>
        <v>0</v>
      </c>
      <c r="P66" s="176">
        <f t="shared" si="32"/>
        <v>0</v>
      </c>
      <c r="Q66" s="176">
        <f t="shared" si="32"/>
        <v>0</v>
      </c>
      <c r="R66" s="176">
        <f t="shared" si="32"/>
        <v>0</v>
      </c>
      <c r="S66" s="176">
        <f t="shared" ref="S66:W66" si="33">+S67+S76</f>
        <v>0</v>
      </c>
      <c r="T66" s="176">
        <f t="shared" si="33"/>
        <v>0</v>
      </c>
      <c r="U66" s="176">
        <f t="shared" si="33"/>
        <v>0</v>
      </c>
      <c r="V66" s="176">
        <f t="shared" si="33"/>
        <v>0</v>
      </c>
      <c r="W66" s="176">
        <f t="shared" si="33"/>
        <v>0</v>
      </c>
      <c r="X66" s="176">
        <f t="shared" ref="X66:BB66" si="34">+X67+X76</f>
        <v>0</v>
      </c>
      <c r="Y66" s="176">
        <f t="shared" si="34"/>
        <v>1022362151</v>
      </c>
      <c r="Z66" s="176">
        <f t="shared" si="34"/>
        <v>29269096</v>
      </c>
      <c r="AA66" s="176">
        <f t="shared" si="34"/>
        <v>0</v>
      </c>
      <c r="AB66" s="176">
        <f t="shared" si="34"/>
        <v>0</v>
      </c>
      <c r="AC66" s="176">
        <f t="shared" si="34"/>
        <v>0</v>
      </c>
      <c r="AD66" s="176">
        <f t="shared" si="34"/>
        <v>71100000</v>
      </c>
      <c r="AE66" s="176">
        <f t="shared" si="34"/>
        <v>23871272</v>
      </c>
      <c r="AF66" s="176">
        <f t="shared" si="34"/>
        <v>0</v>
      </c>
      <c r="AG66" s="176">
        <f t="shared" si="34"/>
        <v>0</v>
      </c>
      <c r="AH66" s="176">
        <f t="shared" si="34"/>
        <v>0</v>
      </c>
      <c r="AI66" s="176">
        <f t="shared" si="34"/>
        <v>0</v>
      </c>
      <c r="AJ66" s="176">
        <f t="shared" si="34"/>
        <v>0</v>
      </c>
      <c r="AK66" s="176">
        <f t="shared" si="34"/>
        <v>0</v>
      </c>
      <c r="AL66" s="176">
        <f t="shared" si="34"/>
        <v>0</v>
      </c>
      <c r="AM66" s="176">
        <f t="shared" si="34"/>
        <v>0</v>
      </c>
      <c r="AN66" s="176">
        <f t="shared" si="34"/>
        <v>0</v>
      </c>
      <c r="AO66" s="176">
        <f t="shared" si="34"/>
        <v>175000000</v>
      </c>
      <c r="AP66" s="176">
        <f t="shared" si="34"/>
        <v>156175954</v>
      </c>
      <c r="AQ66" s="176">
        <f t="shared" si="34"/>
        <v>0</v>
      </c>
      <c r="AR66" s="176">
        <f t="shared" si="34"/>
        <v>0</v>
      </c>
      <c r="AS66" s="176">
        <f t="shared" si="34"/>
        <v>0</v>
      </c>
      <c r="AT66" s="176">
        <f t="shared" si="34"/>
        <v>0</v>
      </c>
      <c r="AU66" s="176">
        <f t="shared" si="34"/>
        <v>0</v>
      </c>
      <c r="AV66" s="176">
        <f t="shared" si="34"/>
        <v>0</v>
      </c>
      <c r="AW66" s="176">
        <f t="shared" si="34"/>
        <v>0</v>
      </c>
      <c r="AX66" s="176">
        <f t="shared" si="34"/>
        <v>0</v>
      </c>
      <c r="AY66" s="176">
        <f t="shared" si="34"/>
        <v>0</v>
      </c>
      <c r="AZ66" s="176">
        <f t="shared" si="34"/>
        <v>0</v>
      </c>
      <c r="BA66" s="176">
        <f t="shared" si="34"/>
        <v>20923061</v>
      </c>
      <c r="BB66" s="188">
        <f t="shared" si="34"/>
        <v>0</v>
      </c>
      <c r="BC66" s="189"/>
      <c r="BD66" s="189"/>
      <c r="BE66" s="189"/>
      <c r="BF66" s="189"/>
      <c r="BG66" s="189"/>
      <c r="BH66" s="189"/>
      <c r="BI66" s="189"/>
      <c r="BJ66" s="189"/>
      <c r="BK66" s="189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</row>
    <row r="67" spans="1:75" s="210" customFormat="1" ht="24" customHeight="1" x14ac:dyDescent="0.25">
      <c r="A67" s="21" t="s">
        <v>215</v>
      </c>
      <c r="B67" s="22" t="s">
        <v>216</v>
      </c>
      <c r="C67" s="21" t="s">
        <v>56</v>
      </c>
      <c r="D67" s="21">
        <v>3205</v>
      </c>
      <c r="E67" s="23"/>
      <c r="F67" s="177">
        <f t="shared" si="26"/>
        <v>2684081534</v>
      </c>
      <c r="G67" s="177">
        <f>SUM(G69:G75)</f>
        <v>0</v>
      </c>
      <c r="H67" s="177">
        <f>SUM(H69:H75)</f>
        <v>282565773</v>
      </c>
      <c r="I67" s="177">
        <f t="shared" ref="I67:L67" si="35">SUM(I69:I75)</f>
        <v>110000000</v>
      </c>
      <c r="J67" s="177">
        <f t="shared" si="35"/>
        <v>732814227</v>
      </c>
      <c r="K67" s="177">
        <f>SUM(K69:K75)</f>
        <v>70000000</v>
      </c>
      <c r="L67" s="177">
        <f t="shared" si="35"/>
        <v>0</v>
      </c>
      <c r="M67" s="177">
        <f t="shared" ref="M67:R67" si="36">SUM(M69:M75)</f>
        <v>0</v>
      </c>
      <c r="N67" s="177">
        <f t="shared" si="36"/>
        <v>0</v>
      </c>
      <c r="O67" s="177">
        <f t="shared" si="36"/>
        <v>0</v>
      </c>
      <c r="P67" s="177">
        <f t="shared" si="36"/>
        <v>0</v>
      </c>
      <c r="Q67" s="177">
        <f t="shared" si="36"/>
        <v>0</v>
      </c>
      <c r="R67" s="177">
        <f t="shared" si="36"/>
        <v>0</v>
      </c>
      <c r="S67" s="177">
        <f t="shared" ref="S67:W67" si="37">SUM(S69:S75)</f>
        <v>0</v>
      </c>
      <c r="T67" s="177">
        <f t="shared" si="37"/>
        <v>0</v>
      </c>
      <c r="U67" s="177">
        <f t="shared" si="37"/>
        <v>0</v>
      </c>
      <c r="V67" s="177">
        <f t="shared" si="37"/>
        <v>0</v>
      </c>
      <c r="W67" s="177">
        <f t="shared" si="37"/>
        <v>0</v>
      </c>
      <c r="X67" s="177">
        <f t="shared" ref="X67:BB67" si="38">SUM(X69:X75)</f>
        <v>0</v>
      </c>
      <c r="Y67" s="177">
        <f t="shared" si="38"/>
        <v>1022362151</v>
      </c>
      <c r="Z67" s="177">
        <f t="shared" si="38"/>
        <v>29269096</v>
      </c>
      <c r="AA67" s="177">
        <f t="shared" si="38"/>
        <v>0</v>
      </c>
      <c r="AB67" s="177">
        <f t="shared" si="38"/>
        <v>0</v>
      </c>
      <c r="AC67" s="177">
        <f t="shared" si="38"/>
        <v>0</v>
      </c>
      <c r="AD67" s="177">
        <f t="shared" si="38"/>
        <v>71100000</v>
      </c>
      <c r="AE67" s="177">
        <f t="shared" si="38"/>
        <v>23871272</v>
      </c>
      <c r="AF67" s="177">
        <f t="shared" si="38"/>
        <v>0</v>
      </c>
      <c r="AG67" s="177">
        <f t="shared" si="38"/>
        <v>0</v>
      </c>
      <c r="AH67" s="177">
        <f t="shared" si="38"/>
        <v>0</v>
      </c>
      <c r="AI67" s="177">
        <f t="shared" si="38"/>
        <v>0</v>
      </c>
      <c r="AJ67" s="177">
        <f t="shared" si="38"/>
        <v>0</v>
      </c>
      <c r="AK67" s="177">
        <f t="shared" si="38"/>
        <v>0</v>
      </c>
      <c r="AL67" s="177">
        <f t="shared" si="38"/>
        <v>0</v>
      </c>
      <c r="AM67" s="177">
        <f t="shared" si="38"/>
        <v>0</v>
      </c>
      <c r="AN67" s="177">
        <f t="shared" si="38"/>
        <v>0</v>
      </c>
      <c r="AO67" s="177">
        <f t="shared" si="38"/>
        <v>165000000</v>
      </c>
      <c r="AP67" s="177">
        <f t="shared" si="38"/>
        <v>156175954</v>
      </c>
      <c r="AQ67" s="177">
        <f t="shared" si="38"/>
        <v>0</v>
      </c>
      <c r="AR67" s="177">
        <f t="shared" si="38"/>
        <v>0</v>
      </c>
      <c r="AS67" s="177">
        <f t="shared" si="38"/>
        <v>0</v>
      </c>
      <c r="AT67" s="177">
        <f t="shared" si="38"/>
        <v>0</v>
      </c>
      <c r="AU67" s="177">
        <f t="shared" si="38"/>
        <v>0</v>
      </c>
      <c r="AV67" s="177">
        <f t="shared" si="38"/>
        <v>0</v>
      </c>
      <c r="AW67" s="177">
        <f t="shared" si="38"/>
        <v>0</v>
      </c>
      <c r="AX67" s="177">
        <f t="shared" si="38"/>
        <v>0</v>
      </c>
      <c r="AY67" s="177">
        <f t="shared" si="38"/>
        <v>0</v>
      </c>
      <c r="AZ67" s="177">
        <f t="shared" si="38"/>
        <v>0</v>
      </c>
      <c r="BA67" s="177">
        <f t="shared" si="38"/>
        <v>20923061</v>
      </c>
      <c r="BB67" s="190">
        <f t="shared" si="38"/>
        <v>0</v>
      </c>
      <c r="BC67" s="189"/>
      <c r="BD67" s="189"/>
      <c r="BE67" s="189"/>
      <c r="BF67" s="189"/>
      <c r="BG67" s="189"/>
      <c r="BH67" s="189"/>
      <c r="BI67" s="189"/>
      <c r="BJ67" s="189"/>
      <c r="BK67" s="189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</row>
    <row r="68" spans="1:75" s="212" customFormat="1" ht="31.5" customHeight="1" x14ac:dyDescent="0.25">
      <c r="A68" s="24" t="s">
        <v>57</v>
      </c>
      <c r="B68" s="25" t="s">
        <v>58</v>
      </c>
      <c r="C68" s="25" t="s">
        <v>59</v>
      </c>
      <c r="D68" s="25" t="s">
        <v>60</v>
      </c>
      <c r="E68" s="25" t="s">
        <v>61</v>
      </c>
      <c r="F68" s="26" t="s">
        <v>62</v>
      </c>
      <c r="G68" s="191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211"/>
      <c r="BC68" s="189"/>
      <c r="BD68" s="189"/>
      <c r="BE68" s="189"/>
      <c r="BF68" s="189"/>
      <c r="BG68" s="189"/>
      <c r="BH68" s="189"/>
      <c r="BI68" s="189"/>
      <c r="BJ68" s="189"/>
      <c r="BK68" s="189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</row>
    <row r="69" spans="1:75" ht="72" customHeight="1" x14ac:dyDescent="0.25">
      <c r="A69" s="27" t="s">
        <v>217</v>
      </c>
      <c r="B69" s="12" t="s">
        <v>218</v>
      </c>
      <c r="C69" s="11" t="s">
        <v>65</v>
      </c>
      <c r="D69" s="28" t="s">
        <v>219</v>
      </c>
      <c r="E69" s="28">
        <v>18</v>
      </c>
      <c r="F69" s="195">
        <f t="shared" ref="F69:F76" si="39">SUM(H69:BB69)</f>
        <v>2032081534</v>
      </c>
      <c r="G69" s="217"/>
      <c r="H69" s="179">
        <f>120615773-50000</f>
        <v>120565773</v>
      </c>
      <c r="I69" s="179">
        <v>100000000</v>
      </c>
      <c r="J69" s="179">
        <f>550000000+82861453</f>
        <v>632861453</v>
      </c>
      <c r="K69" s="189">
        <v>70000000</v>
      </c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>
        <f>1200000000+134462151+29000000-550000000-21100000</f>
        <v>792362151</v>
      </c>
      <c r="Z69" s="179">
        <f>50000000-38499451+17768547</f>
        <v>29269096</v>
      </c>
      <c r="AA69" s="179"/>
      <c r="AB69" s="179"/>
      <c r="AC69" s="179"/>
      <c r="AD69" s="179">
        <v>71100000</v>
      </c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>
        <f>444000000+21000000-300000000</f>
        <v>165000000</v>
      </c>
      <c r="AP69" s="179">
        <v>30000000</v>
      </c>
      <c r="AQ69" s="179"/>
      <c r="AR69" s="179"/>
      <c r="AS69" s="179"/>
      <c r="AT69" s="179"/>
      <c r="AU69" s="179"/>
      <c r="AV69" s="179"/>
      <c r="AW69" s="179"/>
      <c r="AX69" s="179"/>
      <c r="AY69" s="179"/>
      <c r="AZ69" s="331"/>
      <c r="BA69" s="179">
        <v>20923061</v>
      </c>
      <c r="BB69" s="213"/>
    </row>
    <row r="70" spans="1:75" ht="46.5" customHeight="1" x14ac:dyDescent="0.25">
      <c r="A70" s="27" t="s">
        <v>220</v>
      </c>
      <c r="B70" s="310" t="s">
        <v>221</v>
      </c>
      <c r="C70" s="11" t="s">
        <v>65</v>
      </c>
      <c r="D70" s="12" t="s">
        <v>222</v>
      </c>
      <c r="E70" s="327"/>
      <c r="F70" s="195">
        <f t="shared" si="39"/>
        <v>0</v>
      </c>
      <c r="G70" s="217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79"/>
      <c r="AO70" s="179"/>
      <c r="AP70" s="179"/>
      <c r="AQ70" s="179"/>
      <c r="AR70" s="179"/>
      <c r="AS70" s="179"/>
      <c r="AT70" s="179"/>
      <c r="AU70" s="179"/>
      <c r="AV70" s="179"/>
      <c r="AW70" s="179"/>
      <c r="AX70" s="179"/>
      <c r="AY70" s="179"/>
      <c r="AZ70" s="179"/>
      <c r="BA70" s="179"/>
      <c r="BB70" s="213"/>
    </row>
    <row r="71" spans="1:75" ht="77.25" customHeight="1" x14ac:dyDescent="0.25">
      <c r="A71" s="27" t="s">
        <v>223</v>
      </c>
      <c r="B71" s="12" t="s">
        <v>224</v>
      </c>
      <c r="C71" s="11" t="s">
        <v>65</v>
      </c>
      <c r="D71" s="28" t="s">
        <v>219</v>
      </c>
      <c r="E71" s="28"/>
      <c r="F71" s="195">
        <f t="shared" si="39"/>
        <v>0</v>
      </c>
      <c r="G71" s="217"/>
      <c r="H71" s="179"/>
      <c r="I71" s="179"/>
      <c r="J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  <c r="AK71" s="179"/>
      <c r="AL71" s="179"/>
      <c r="AM71" s="179"/>
      <c r="AN71" s="179"/>
      <c r="AO71" s="179"/>
      <c r="AP71" s="179"/>
      <c r="AQ71" s="179"/>
      <c r="AR71" s="179"/>
      <c r="AS71" s="179"/>
      <c r="AT71" s="179"/>
      <c r="AU71" s="179"/>
      <c r="AV71" s="179"/>
      <c r="AW71" s="179"/>
      <c r="AX71" s="179"/>
      <c r="AY71" s="179"/>
      <c r="AZ71" s="179"/>
      <c r="BA71" s="179"/>
      <c r="BB71" s="213"/>
    </row>
    <row r="72" spans="1:75" ht="63.75" customHeight="1" x14ac:dyDescent="0.25">
      <c r="A72" s="27" t="s">
        <v>225</v>
      </c>
      <c r="B72" s="310" t="s">
        <v>226</v>
      </c>
      <c r="C72" s="11" t="s">
        <v>65</v>
      </c>
      <c r="D72" s="12" t="s">
        <v>227</v>
      </c>
      <c r="E72" s="332">
        <v>3</v>
      </c>
      <c r="F72" s="195">
        <f t="shared" si="39"/>
        <v>80000000</v>
      </c>
      <c r="G72" s="217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>
        <v>80000000</v>
      </c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  <c r="AK72" s="179"/>
      <c r="AL72" s="179"/>
      <c r="AM72" s="179"/>
      <c r="AN72" s="179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  <c r="BB72" s="213"/>
    </row>
    <row r="73" spans="1:75" ht="111" customHeight="1" x14ac:dyDescent="0.25">
      <c r="A73" s="27" t="s">
        <v>228</v>
      </c>
      <c r="B73" s="12" t="s">
        <v>229</v>
      </c>
      <c r="C73" s="11" t="s">
        <v>65</v>
      </c>
      <c r="D73" s="28" t="s">
        <v>230</v>
      </c>
      <c r="E73" s="28"/>
      <c r="F73" s="195">
        <f t="shared" si="39"/>
        <v>0</v>
      </c>
      <c r="G73" s="217"/>
      <c r="H73" s="179"/>
      <c r="I73" s="179"/>
      <c r="J73" s="179"/>
      <c r="K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  <c r="AT73" s="179"/>
      <c r="AU73" s="179"/>
      <c r="AV73" s="179"/>
      <c r="AW73" s="179"/>
      <c r="AX73" s="179"/>
      <c r="AY73" s="179"/>
      <c r="AZ73" s="179"/>
      <c r="BA73" s="179"/>
      <c r="BB73" s="213"/>
    </row>
    <row r="74" spans="1:75" ht="67.5" customHeight="1" x14ac:dyDescent="0.25">
      <c r="A74" s="27" t="s">
        <v>231</v>
      </c>
      <c r="B74" s="12" t="s">
        <v>232</v>
      </c>
      <c r="C74" s="11" t="s">
        <v>65</v>
      </c>
      <c r="D74" s="28" t="s">
        <v>233</v>
      </c>
      <c r="E74" s="28">
        <v>2</v>
      </c>
      <c r="F74" s="195">
        <f t="shared" si="39"/>
        <v>260000000</v>
      </c>
      <c r="G74" s="217"/>
      <c r="H74" s="179"/>
      <c r="I74" s="179">
        <v>10000000</v>
      </c>
      <c r="J74" s="179">
        <f>60000000+100000000-23871272-36175954</f>
        <v>99952774</v>
      </c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>
        <v>23871272</v>
      </c>
      <c r="AF74" s="179"/>
      <c r="AG74" s="179"/>
      <c r="AH74" s="179"/>
      <c r="AI74" s="179"/>
      <c r="AJ74" s="179"/>
      <c r="AK74" s="179"/>
      <c r="AL74" s="179"/>
      <c r="AM74" s="179"/>
      <c r="AN74" s="179"/>
      <c r="AO74" s="333"/>
      <c r="AP74" s="179">
        <v>126175954</v>
      </c>
      <c r="AQ74" s="179"/>
      <c r="AR74" s="179"/>
      <c r="AS74" s="179"/>
      <c r="AT74" s="179"/>
      <c r="AU74" s="179"/>
      <c r="AV74" s="179"/>
      <c r="AW74" s="179"/>
      <c r="AX74" s="179"/>
      <c r="AY74" s="179"/>
      <c r="AZ74" s="179"/>
      <c r="BA74" s="179"/>
      <c r="BB74" s="213"/>
    </row>
    <row r="75" spans="1:75" ht="63" customHeight="1" x14ac:dyDescent="0.25">
      <c r="A75" s="27" t="s">
        <v>234</v>
      </c>
      <c r="B75" s="12" t="s">
        <v>235</v>
      </c>
      <c r="C75" s="11" t="s">
        <v>65</v>
      </c>
      <c r="D75" s="28" t="s">
        <v>236</v>
      </c>
      <c r="E75" s="28">
        <v>3</v>
      </c>
      <c r="F75" s="195">
        <f t="shared" si="39"/>
        <v>312000000</v>
      </c>
      <c r="G75" s="217"/>
      <c r="H75" s="179">
        <v>162000000</v>
      </c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>
        <v>150000000</v>
      </c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  <c r="AK75" s="179"/>
      <c r="AL75" s="179"/>
      <c r="AM75" s="179"/>
      <c r="AN75" s="179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79"/>
      <c r="BB75" s="213"/>
    </row>
    <row r="76" spans="1:75" s="210" customFormat="1" ht="12.75" x14ac:dyDescent="0.25">
      <c r="A76" s="21" t="s">
        <v>237</v>
      </c>
      <c r="B76" s="22" t="s">
        <v>238</v>
      </c>
      <c r="C76" s="21" t="s">
        <v>56</v>
      </c>
      <c r="D76" s="21">
        <v>3206</v>
      </c>
      <c r="E76" s="23"/>
      <c r="F76" s="177">
        <f t="shared" si="39"/>
        <v>70000000</v>
      </c>
      <c r="G76" s="177">
        <f>SUM(G78:G82)</f>
        <v>0</v>
      </c>
      <c r="H76" s="177">
        <f>SUM(H78:H82)</f>
        <v>60000000</v>
      </c>
      <c r="I76" s="177"/>
      <c r="J76" s="177"/>
      <c r="K76" s="177"/>
      <c r="L76" s="177"/>
      <c r="M76" s="177">
        <f t="shared" ref="M76:R76" si="40">SUM(M78:M82)</f>
        <v>0</v>
      </c>
      <c r="N76" s="177">
        <f t="shared" si="40"/>
        <v>0</v>
      </c>
      <c r="O76" s="177">
        <f t="shared" si="40"/>
        <v>0</v>
      </c>
      <c r="P76" s="177">
        <f t="shared" si="40"/>
        <v>0</v>
      </c>
      <c r="Q76" s="177">
        <f t="shared" si="40"/>
        <v>0</v>
      </c>
      <c r="R76" s="177">
        <f t="shared" si="40"/>
        <v>0</v>
      </c>
      <c r="S76" s="177">
        <f t="shared" ref="S76:W76" si="41">SUM(S78:S82)</f>
        <v>0</v>
      </c>
      <c r="T76" s="177">
        <f t="shared" si="41"/>
        <v>0</v>
      </c>
      <c r="U76" s="177">
        <f t="shared" si="41"/>
        <v>0</v>
      </c>
      <c r="V76" s="177">
        <f t="shared" si="41"/>
        <v>0</v>
      </c>
      <c r="W76" s="177">
        <f t="shared" si="41"/>
        <v>0</v>
      </c>
      <c r="X76" s="177">
        <f t="shared" ref="X76:BB76" si="42">SUM(X78:X82)</f>
        <v>0</v>
      </c>
      <c r="Y76" s="177">
        <f t="shared" si="42"/>
        <v>0</v>
      </c>
      <c r="Z76" s="177">
        <f t="shared" si="42"/>
        <v>0</v>
      </c>
      <c r="AA76" s="177">
        <f t="shared" si="42"/>
        <v>0</v>
      </c>
      <c r="AB76" s="177">
        <f t="shared" si="42"/>
        <v>0</v>
      </c>
      <c r="AC76" s="177">
        <f t="shared" si="42"/>
        <v>0</v>
      </c>
      <c r="AD76" s="177">
        <f t="shared" si="42"/>
        <v>0</v>
      </c>
      <c r="AE76" s="177">
        <f t="shared" si="42"/>
        <v>0</v>
      </c>
      <c r="AF76" s="177">
        <f t="shared" si="42"/>
        <v>0</v>
      </c>
      <c r="AG76" s="177">
        <f t="shared" si="42"/>
        <v>0</v>
      </c>
      <c r="AH76" s="177">
        <f t="shared" si="42"/>
        <v>0</v>
      </c>
      <c r="AI76" s="177">
        <f t="shared" si="42"/>
        <v>0</v>
      </c>
      <c r="AJ76" s="177">
        <f t="shared" si="42"/>
        <v>0</v>
      </c>
      <c r="AK76" s="177">
        <f t="shared" si="42"/>
        <v>0</v>
      </c>
      <c r="AL76" s="177">
        <f t="shared" si="42"/>
        <v>0</v>
      </c>
      <c r="AM76" s="177">
        <f t="shared" si="42"/>
        <v>0</v>
      </c>
      <c r="AN76" s="177">
        <f t="shared" si="42"/>
        <v>0</v>
      </c>
      <c r="AO76" s="177">
        <f t="shared" si="42"/>
        <v>10000000</v>
      </c>
      <c r="AP76" s="177">
        <f t="shared" si="42"/>
        <v>0</v>
      </c>
      <c r="AQ76" s="177">
        <f t="shared" si="42"/>
        <v>0</v>
      </c>
      <c r="AR76" s="177">
        <f t="shared" si="42"/>
        <v>0</v>
      </c>
      <c r="AS76" s="177">
        <f t="shared" si="42"/>
        <v>0</v>
      </c>
      <c r="AT76" s="177">
        <f t="shared" si="42"/>
        <v>0</v>
      </c>
      <c r="AU76" s="177">
        <f t="shared" si="42"/>
        <v>0</v>
      </c>
      <c r="AV76" s="177">
        <f t="shared" si="42"/>
        <v>0</v>
      </c>
      <c r="AW76" s="177">
        <f t="shared" si="42"/>
        <v>0</v>
      </c>
      <c r="AX76" s="177">
        <f t="shared" si="42"/>
        <v>0</v>
      </c>
      <c r="AY76" s="177">
        <f t="shared" si="42"/>
        <v>0</v>
      </c>
      <c r="AZ76" s="177">
        <f t="shared" si="42"/>
        <v>0</v>
      </c>
      <c r="BA76" s="177">
        <f t="shared" si="42"/>
        <v>0</v>
      </c>
      <c r="BB76" s="190">
        <f t="shared" si="42"/>
        <v>0</v>
      </c>
      <c r="BC76" s="189"/>
      <c r="BD76" s="189"/>
      <c r="BE76" s="189"/>
      <c r="BF76" s="189"/>
      <c r="BG76" s="189"/>
      <c r="BH76" s="189"/>
      <c r="BI76" s="189"/>
      <c r="BJ76" s="189"/>
      <c r="BK76" s="189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</row>
    <row r="77" spans="1:75" s="212" customFormat="1" ht="36.75" customHeight="1" x14ac:dyDescent="0.25">
      <c r="A77" s="24" t="s">
        <v>57</v>
      </c>
      <c r="B77" s="25" t="s">
        <v>58</v>
      </c>
      <c r="C77" s="25" t="s">
        <v>59</v>
      </c>
      <c r="D77" s="25" t="s">
        <v>60</v>
      </c>
      <c r="E77" s="25" t="s">
        <v>61</v>
      </c>
      <c r="F77" s="26" t="s">
        <v>62</v>
      </c>
      <c r="G77" s="191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211"/>
      <c r="BC77" s="189"/>
      <c r="BD77" s="189"/>
      <c r="BE77" s="189"/>
      <c r="BF77" s="189"/>
      <c r="BG77" s="189"/>
      <c r="BH77" s="189"/>
      <c r="BI77" s="189"/>
      <c r="BJ77" s="189"/>
      <c r="BK77" s="189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</row>
    <row r="78" spans="1:75" ht="25.5" x14ac:dyDescent="0.25">
      <c r="A78" s="27" t="s">
        <v>239</v>
      </c>
      <c r="B78" s="317" t="s">
        <v>240</v>
      </c>
      <c r="C78" s="11" t="s">
        <v>65</v>
      </c>
      <c r="D78" s="12" t="s">
        <v>241</v>
      </c>
      <c r="E78" s="311">
        <v>0</v>
      </c>
      <c r="F78" s="195">
        <f t="shared" ref="F78:F84" si="43">SUM(H78:BB78)</f>
        <v>0</v>
      </c>
      <c r="G78" s="192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179"/>
      <c r="AQ78" s="179"/>
      <c r="AR78" s="179"/>
      <c r="AS78" s="179"/>
      <c r="AT78" s="179"/>
      <c r="AU78" s="179"/>
      <c r="AV78" s="179"/>
      <c r="AW78" s="179"/>
      <c r="AX78" s="179"/>
      <c r="AY78" s="179"/>
      <c r="AZ78" s="179"/>
      <c r="BA78" s="179"/>
      <c r="BB78" s="213"/>
    </row>
    <row r="79" spans="1:75" ht="36.75" customHeight="1" x14ac:dyDescent="0.25">
      <c r="A79" s="27" t="s">
        <v>242</v>
      </c>
      <c r="B79" s="12" t="s">
        <v>243</v>
      </c>
      <c r="C79" s="11" t="s">
        <v>244</v>
      </c>
      <c r="D79" s="334" t="s">
        <v>245</v>
      </c>
      <c r="E79" s="311">
        <v>0</v>
      </c>
      <c r="F79" s="195">
        <f t="shared" si="43"/>
        <v>0</v>
      </c>
      <c r="G79" s="192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79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213"/>
    </row>
    <row r="80" spans="1:75" s="338" customFormat="1" ht="50.25" customHeight="1" x14ac:dyDescent="0.25">
      <c r="A80" s="27" t="s">
        <v>246</v>
      </c>
      <c r="B80" s="321" t="s">
        <v>247</v>
      </c>
      <c r="C80" s="335" t="s">
        <v>65</v>
      </c>
      <c r="D80" s="321" t="s">
        <v>248</v>
      </c>
      <c r="E80" s="30">
        <v>0</v>
      </c>
      <c r="F80" s="195">
        <f t="shared" si="43"/>
        <v>0</v>
      </c>
      <c r="G80" s="336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31"/>
      <c r="AA80" s="331"/>
      <c r="AB80" s="331"/>
      <c r="AC80" s="331"/>
      <c r="AD80" s="331"/>
      <c r="AE80" s="331"/>
      <c r="AF80" s="331"/>
      <c r="AG80" s="331"/>
      <c r="AH80" s="331"/>
      <c r="AI80" s="331"/>
      <c r="AJ80" s="331"/>
      <c r="AK80" s="331"/>
      <c r="AL80" s="331"/>
      <c r="AM80" s="331"/>
      <c r="AN80" s="331"/>
      <c r="AO80" s="331"/>
      <c r="AP80" s="331"/>
      <c r="AQ80" s="331"/>
      <c r="AR80" s="331"/>
      <c r="AS80" s="331"/>
      <c r="AT80" s="331"/>
      <c r="AU80" s="331"/>
      <c r="AV80" s="331"/>
      <c r="AW80" s="331"/>
      <c r="AX80" s="331"/>
      <c r="AY80" s="331"/>
      <c r="AZ80" s="331"/>
      <c r="BA80" s="331"/>
      <c r="BB80" s="337"/>
      <c r="BC80" s="333"/>
      <c r="BD80" s="333"/>
      <c r="BE80" s="333"/>
      <c r="BF80" s="333"/>
      <c r="BG80" s="333"/>
      <c r="BH80" s="333"/>
      <c r="BI80" s="333"/>
      <c r="BJ80" s="333"/>
      <c r="BK80" s="333"/>
    </row>
    <row r="81" spans="1:75" ht="25.5" x14ac:dyDescent="0.25">
      <c r="A81" s="27" t="s">
        <v>249</v>
      </c>
      <c r="B81" s="12" t="s">
        <v>250</v>
      </c>
      <c r="C81" s="11" t="s">
        <v>65</v>
      </c>
      <c r="D81" s="310" t="s">
        <v>251</v>
      </c>
      <c r="E81" s="311">
        <v>1</v>
      </c>
      <c r="F81" s="195">
        <f t="shared" si="43"/>
        <v>70000000</v>
      </c>
      <c r="G81" s="192"/>
      <c r="H81" s="179">
        <v>60000000</v>
      </c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>
        <v>10000000</v>
      </c>
      <c r="AP81" s="179"/>
      <c r="AQ81" s="179"/>
      <c r="AR81" s="179"/>
      <c r="AS81" s="179"/>
      <c r="AT81" s="179"/>
      <c r="AU81" s="179"/>
      <c r="AV81" s="179"/>
      <c r="AW81" s="179"/>
      <c r="AX81" s="179"/>
      <c r="AY81" s="179"/>
      <c r="AZ81" s="179"/>
      <c r="BA81" s="179"/>
      <c r="BB81" s="213"/>
    </row>
    <row r="82" spans="1:75" ht="38.25" x14ac:dyDescent="0.25">
      <c r="A82" s="27" t="s">
        <v>252</v>
      </c>
      <c r="B82" s="317" t="s">
        <v>253</v>
      </c>
      <c r="C82" s="11" t="s">
        <v>65</v>
      </c>
      <c r="D82" s="310" t="s">
        <v>254</v>
      </c>
      <c r="E82" s="311">
        <v>0</v>
      </c>
      <c r="F82" s="195">
        <f t="shared" si="43"/>
        <v>0</v>
      </c>
      <c r="G82" s="192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213"/>
    </row>
    <row r="83" spans="1:75" s="20" customFormat="1" ht="20.25" customHeight="1" x14ac:dyDescent="0.25">
      <c r="A83" s="18" t="s">
        <v>255</v>
      </c>
      <c r="B83" s="18" t="s">
        <v>256</v>
      </c>
      <c r="C83" s="356"/>
      <c r="D83" s="356"/>
      <c r="E83" s="19"/>
      <c r="F83" s="176">
        <f t="shared" si="43"/>
        <v>430660000</v>
      </c>
      <c r="G83" s="176">
        <f t="shared" ref="G83:AL83" si="44">+G84+G91</f>
        <v>0</v>
      </c>
      <c r="H83" s="176">
        <f t="shared" si="44"/>
        <v>122532323</v>
      </c>
      <c r="I83" s="176">
        <f t="shared" si="44"/>
        <v>46620209</v>
      </c>
      <c r="J83" s="176">
        <f t="shared" si="44"/>
        <v>0</v>
      </c>
      <c r="K83" s="176">
        <f t="shared" si="44"/>
        <v>80998827</v>
      </c>
      <c r="L83" s="176">
        <f t="shared" si="44"/>
        <v>0</v>
      </c>
      <c r="M83" s="176">
        <f t="shared" si="44"/>
        <v>0</v>
      </c>
      <c r="N83" s="176">
        <f t="shared" si="44"/>
        <v>0</v>
      </c>
      <c r="O83" s="176">
        <f t="shared" si="44"/>
        <v>0</v>
      </c>
      <c r="P83" s="176">
        <f t="shared" si="44"/>
        <v>0</v>
      </c>
      <c r="Q83" s="176">
        <f t="shared" si="44"/>
        <v>0</v>
      </c>
      <c r="R83" s="176">
        <f t="shared" si="44"/>
        <v>0</v>
      </c>
      <c r="S83" s="176">
        <f t="shared" si="44"/>
        <v>0</v>
      </c>
      <c r="T83" s="176">
        <f t="shared" si="44"/>
        <v>0</v>
      </c>
      <c r="U83" s="176">
        <f t="shared" si="44"/>
        <v>0</v>
      </c>
      <c r="V83" s="176">
        <f t="shared" si="44"/>
        <v>0</v>
      </c>
      <c r="W83" s="176">
        <f t="shared" si="44"/>
        <v>0</v>
      </c>
      <c r="X83" s="176">
        <f t="shared" si="44"/>
        <v>0</v>
      </c>
      <c r="Y83" s="176">
        <f t="shared" si="44"/>
        <v>30818946</v>
      </c>
      <c r="Z83" s="176">
        <f t="shared" si="44"/>
        <v>32231453</v>
      </c>
      <c r="AA83" s="176">
        <f t="shared" si="44"/>
        <v>0</v>
      </c>
      <c r="AB83" s="176">
        <f t="shared" si="44"/>
        <v>0</v>
      </c>
      <c r="AC83" s="176">
        <f t="shared" si="44"/>
        <v>38267442</v>
      </c>
      <c r="AD83" s="176">
        <f t="shared" si="44"/>
        <v>0</v>
      </c>
      <c r="AE83" s="176">
        <f t="shared" si="44"/>
        <v>0</v>
      </c>
      <c r="AF83" s="176">
        <f t="shared" si="44"/>
        <v>0</v>
      </c>
      <c r="AG83" s="176">
        <f t="shared" si="44"/>
        <v>0</v>
      </c>
      <c r="AH83" s="176">
        <f t="shared" si="44"/>
        <v>0</v>
      </c>
      <c r="AI83" s="176">
        <f t="shared" si="44"/>
        <v>0</v>
      </c>
      <c r="AJ83" s="176">
        <f t="shared" si="44"/>
        <v>0</v>
      </c>
      <c r="AK83" s="176">
        <f t="shared" si="44"/>
        <v>0</v>
      </c>
      <c r="AL83" s="176">
        <f t="shared" si="44"/>
        <v>0</v>
      </c>
      <c r="AM83" s="176">
        <f t="shared" ref="AM83:BB83" si="45">+AM84+AM91</f>
        <v>0</v>
      </c>
      <c r="AN83" s="176">
        <f t="shared" si="45"/>
        <v>0</v>
      </c>
      <c r="AO83" s="176">
        <f t="shared" si="45"/>
        <v>12189821</v>
      </c>
      <c r="AP83" s="176">
        <f t="shared" si="45"/>
        <v>0</v>
      </c>
      <c r="AQ83" s="176">
        <f t="shared" si="45"/>
        <v>0</v>
      </c>
      <c r="AR83" s="176">
        <f t="shared" si="45"/>
        <v>0</v>
      </c>
      <c r="AS83" s="176">
        <f t="shared" si="45"/>
        <v>0</v>
      </c>
      <c r="AT83" s="176">
        <f t="shared" si="45"/>
        <v>67000979</v>
      </c>
      <c r="AU83" s="176">
        <f t="shared" si="45"/>
        <v>0</v>
      </c>
      <c r="AV83" s="176">
        <f t="shared" si="45"/>
        <v>0</v>
      </c>
      <c r="AW83" s="176">
        <f t="shared" si="45"/>
        <v>0</v>
      </c>
      <c r="AX83" s="176">
        <f t="shared" si="45"/>
        <v>0</v>
      </c>
      <c r="AY83" s="176">
        <f t="shared" si="45"/>
        <v>0</v>
      </c>
      <c r="AZ83" s="176">
        <f t="shared" si="45"/>
        <v>0</v>
      </c>
      <c r="BA83" s="176">
        <f t="shared" si="45"/>
        <v>0</v>
      </c>
      <c r="BB83" s="188">
        <f t="shared" si="45"/>
        <v>0</v>
      </c>
      <c r="BC83" s="189"/>
      <c r="BD83" s="189"/>
      <c r="BE83" s="189"/>
      <c r="BF83" s="189"/>
      <c r="BG83" s="189"/>
      <c r="BH83" s="189"/>
      <c r="BI83" s="189"/>
      <c r="BJ83" s="189"/>
      <c r="BK83" s="189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</row>
    <row r="84" spans="1:75" s="210" customFormat="1" ht="12.75" x14ac:dyDescent="0.25">
      <c r="A84" s="21" t="s">
        <v>257</v>
      </c>
      <c r="B84" s="22" t="s">
        <v>258</v>
      </c>
      <c r="C84" s="21" t="s">
        <v>56</v>
      </c>
      <c r="D84" s="21">
        <v>3201</v>
      </c>
      <c r="E84" s="23"/>
      <c r="F84" s="177">
        <f t="shared" si="43"/>
        <v>140000000</v>
      </c>
      <c r="G84" s="177">
        <f t="shared" ref="G84:AL84" si="46">SUM(G86:G89)</f>
        <v>0</v>
      </c>
      <c r="H84" s="177">
        <f t="shared" si="46"/>
        <v>70809200</v>
      </c>
      <c r="I84" s="177">
        <f t="shared" si="46"/>
        <v>0</v>
      </c>
      <c r="J84" s="177">
        <f t="shared" si="46"/>
        <v>0</v>
      </c>
      <c r="K84" s="177">
        <f t="shared" si="46"/>
        <v>0</v>
      </c>
      <c r="L84" s="177">
        <f t="shared" si="46"/>
        <v>0</v>
      </c>
      <c r="M84" s="177">
        <f t="shared" si="46"/>
        <v>0</v>
      </c>
      <c r="N84" s="177">
        <f t="shared" si="46"/>
        <v>0</v>
      </c>
      <c r="O84" s="177">
        <f t="shared" si="46"/>
        <v>0</v>
      </c>
      <c r="P84" s="177">
        <f t="shared" si="46"/>
        <v>0</v>
      </c>
      <c r="Q84" s="177">
        <f t="shared" si="46"/>
        <v>0</v>
      </c>
      <c r="R84" s="177">
        <f t="shared" si="46"/>
        <v>0</v>
      </c>
      <c r="S84" s="177">
        <f t="shared" si="46"/>
        <v>0</v>
      </c>
      <c r="T84" s="177">
        <f t="shared" si="46"/>
        <v>0</v>
      </c>
      <c r="U84" s="177">
        <f t="shared" si="46"/>
        <v>0</v>
      </c>
      <c r="V84" s="177">
        <f t="shared" si="46"/>
        <v>0</v>
      </c>
      <c r="W84" s="177">
        <f t="shared" si="46"/>
        <v>0</v>
      </c>
      <c r="X84" s="177">
        <f t="shared" si="46"/>
        <v>0</v>
      </c>
      <c r="Y84" s="177">
        <f t="shared" si="46"/>
        <v>0</v>
      </c>
      <c r="Z84" s="177">
        <f t="shared" si="46"/>
        <v>0</v>
      </c>
      <c r="AA84" s="177">
        <f t="shared" si="46"/>
        <v>0</v>
      </c>
      <c r="AB84" s="177">
        <f t="shared" si="46"/>
        <v>0</v>
      </c>
      <c r="AC84" s="177">
        <f t="shared" si="46"/>
        <v>0</v>
      </c>
      <c r="AD84" s="177">
        <f t="shared" si="46"/>
        <v>0</v>
      </c>
      <c r="AE84" s="177">
        <f t="shared" si="46"/>
        <v>0</v>
      </c>
      <c r="AF84" s="177">
        <f t="shared" si="46"/>
        <v>0</v>
      </c>
      <c r="AG84" s="177">
        <f t="shared" si="46"/>
        <v>0</v>
      </c>
      <c r="AH84" s="177">
        <f t="shared" si="46"/>
        <v>0</v>
      </c>
      <c r="AI84" s="177">
        <f t="shared" si="46"/>
        <v>0</v>
      </c>
      <c r="AJ84" s="177">
        <f t="shared" si="46"/>
        <v>0</v>
      </c>
      <c r="AK84" s="177">
        <f t="shared" si="46"/>
        <v>0</v>
      </c>
      <c r="AL84" s="177">
        <f t="shared" si="46"/>
        <v>0</v>
      </c>
      <c r="AM84" s="177">
        <f t="shared" ref="AM84:BB84" si="47">SUM(AM86:AM89)</f>
        <v>0</v>
      </c>
      <c r="AN84" s="177">
        <f t="shared" si="47"/>
        <v>0</v>
      </c>
      <c r="AO84" s="177">
        <f t="shared" si="47"/>
        <v>2189821</v>
      </c>
      <c r="AP84" s="177">
        <f t="shared" si="47"/>
        <v>0</v>
      </c>
      <c r="AQ84" s="177">
        <f t="shared" si="47"/>
        <v>0</v>
      </c>
      <c r="AR84" s="177">
        <f t="shared" si="47"/>
        <v>0</v>
      </c>
      <c r="AS84" s="177">
        <f t="shared" si="47"/>
        <v>0</v>
      </c>
      <c r="AT84" s="177">
        <f t="shared" si="47"/>
        <v>67000979</v>
      </c>
      <c r="AU84" s="177">
        <f t="shared" si="47"/>
        <v>0</v>
      </c>
      <c r="AV84" s="177">
        <f t="shared" si="47"/>
        <v>0</v>
      </c>
      <c r="AW84" s="177">
        <f t="shared" si="47"/>
        <v>0</v>
      </c>
      <c r="AX84" s="177">
        <f t="shared" si="47"/>
        <v>0</v>
      </c>
      <c r="AY84" s="177">
        <f t="shared" si="47"/>
        <v>0</v>
      </c>
      <c r="AZ84" s="177">
        <f t="shared" si="47"/>
        <v>0</v>
      </c>
      <c r="BA84" s="177">
        <f t="shared" si="47"/>
        <v>0</v>
      </c>
      <c r="BB84" s="190">
        <f t="shared" si="47"/>
        <v>0</v>
      </c>
      <c r="BC84" s="189"/>
      <c r="BD84" s="189"/>
      <c r="BE84" s="189"/>
      <c r="BF84" s="189"/>
      <c r="BG84" s="189"/>
      <c r="BH84" s="189"/>
      <c r="BI84" s="189"/>
      <c r="BJ84" s="189"/>
      <c r="BK84" s="189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</row>
    <row r="85" spans="1:75" s="212" customFormat="1" ht="25.5" customHeight="1" x14ac:dyDescent="0.25">
      <c r="A85" s="24" t="s">
        <v>57</v>
      </c>
      <c r="B85" s="25" t="s">
        <v>58</v>
      </c>
      <c r="C85" s="25" t="s">
        <v>59</v>
      </c>
      <c r="D85" s="25" t="s">
        <v>60</v>
      </c>
      <c r="E85" s="25" t="s">
        <v>61</v>
      </c>
      <c r="F85" s="26" t="s">
        <v>62</v>
      </c>
      <c r="G85" s="191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211"/>
      <c r="BC85" s="189"/>
      <c r="BD85" s="189"/>
      <c r="BE85" s="189"/>
      <c r="BF85" s="189"/>
      <c r="BG85" s="189"/>
      <c r="BH85" s="189"/>
      <c r="BI85" s="189"/>
      <c r="BJ85" s="189"/>
      <c r="BK85" s="189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</row>
    <row r="86" spans="1:75" ht="40.5" customHeight="1" x14ac:dyDescent="0.25">
      <c r="A86" s="27" t="s">
        <v>259</v>
      </c>
      <c r="B86" s="310" t="s">
        <v>260</v>
      </c>
      <c r="C86" s="11" t="s">
        <v>65</v>
      </c>
      <c r="D86" s="10" t="s">
        <v>261</v>
      </c>
      <c r="E86" s="311">
        <v>0</v>
      </c>
      <c r="F86" s="195">
        <f t="shared" ref="F86:F91" si="48">SUM(H86:BB86)</f>
        <v>0</v>
      </c>
      <c r="G86" s="217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  <c r="AX86" s="179"/>
      <c r="AY86" s="179"/>
      <c r="AZ86" s="179"/>
      <c r="BA86" s="179"/>
      <c r="BB86" s="213"/>
    </row>
    <row r="87" spans="1:75" ht="48.75" customHeight="1" x14ac:dyDescent="0.25">
      <c r="A87" s="27" t="s">
        <v>262</v>
      </c>
      <c r="B87" s="310" t="s">
        <v>263</v>
      </c>
      <c r="C87" s="11" t="s">
        <v>65</v>
      </c>
      <c r="D87" s="10" t="s">
        <v>264</v>
      </c>
      <c r="E87" s="311">
        <v>0</v>
      </c>
      <c r="F87" s="195">
        <f t="shared" si="48"/>
        <v>0</v>
      </c>
      <c r="G87" s="217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  <c r="AX87" s="179"/>
      <c r="AY87" s="179"/>
      <c r="AZ87" s="179"/>
      <c r="BA87" s="179"/>
      <c r="BB87" s="213"/>
    </row>
    <row r="88" spans="1:75" ht="36.75" customHeight="1" x14ac:dyDescent="0.25">
      <c r="A88" s="27" t="s">
        <v>265</v>
      </c>
      <c r="B88" s="339" t="s">
        <v>266</v>
      </c>
      <c r="C88" s="11" t="s">
        <v>65</v>
      </c>
      <c r="D88" s="10" t="s">
        <v>267</v>
      </c>
      <c r="E88" s="311">
        <v>0</v>
      </c>
      <c r="F88" s="195">
        <f t="shared" si="48"/>
        <v>0</v>
      </c>
      <c r="G88" s="217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  <c r="AX88" s="179"/>
      <c r="AY88" s="179"/>
      <c r="AZ88" s="179"/>
      <c r="BA88" s="179"/>
      <c r="BB88" s="213"/>
    </row>
    <row r="89" spans="1:75" ht="45.75" customHeight="1" x14ac:dyDescent="0.25">
      <c r="A89" s="27" t="s">
        <v>268</v>
      </c>
      <c r="B89" s="310" t="s">
        <v>269</v>
      </c>
      <c r="C89" s="11" t="s">
        <v>65</v>
      </c>
      <c r="D89" s="10" t="s">
        <v>270</v>
      </c>
      <c r="E89" s="311">
        <v>8</v>
      </c>
      <c r="F89" s="195">
        <f t="shared" si="48"/>
        <v>140000000</v>
      </c>
      <c r="G89" s="217"/>
      <c r="H89" s="179">
        <v>70809200</v>
      </c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>
        <v>2189821</v>
      </c>
      <c r="AP89" s="179"/>
      <c r="AQ89" s="179"/>
      <c r="AR89" s="179"/>
      <c r="AS89" s="179"/>
      <c r="AT89" s="179">
        <f>69190800-2189821</f>
        <v>67000979</v>
      </c>
      <c r="AU89" s="179"/>
      <c r="AV89" s="179"/>
      <c r="AW89" s="179"/>
      <c r="AX89" s="179"/>
      <c r="AY89" s="179"/>
      <c r="AZ89" s="179"/>
      <c r="BA89" s="179"/>
      <c r="BB89" s="213"/>
    </row>
    <row r="90" spans="1:75" ht="66.75" customHeight="1" x14ac:dyDescent="0.25">
      <c r="A90" s="27" t="s">
        <v>271</v>
      </c>
      <c r="B90" s="310" t="s">
        <v>272</v>
      </c>
      <c r="C90" s="11" t="s">
        <v>65</v>
      </c>
      <c r="D90" s="10" t="s">
        <v>273</v>
      </c>
      <c r="E90" s="311">
        <v>0</v>
      </c>
      <c r="F90" s="195">
        <f t="shared" si="48"/>
        <v>0</v>
      </c>
      <c r="G90" s="217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79"/>
      <c r="BB90" s="213"/>
    </row>
    <row r="91" spans="1:75" s="210" customFormat="1" ht="23.25" customHeight="1" x14ac:dyDescent="0.25">
      <c r="A91" s="21" t="s">
        <v>274</v>
      </c>
      <c r="B91" s="22" t="s">
        <v>275</v>
      </c>
      <c r="C91" s="22" t="s">
        <v>56</v>
      </c>
      <c r="D91" s="22">
        <v>3201</v>
      </c>
      <c r="E91" s="23"/>
      <c r="F91" s="177">
        <f t="shared" si="48"/>
        <v>290660000</v>
      </c>
      <c r="G91" s="177">
        <f>SUM(G94:G95)</f>
        <v>0</v>
      </c>
      <c r="H91" s="177">
        <f t="shared" ref="H91:BB91" si="49">SUM(H93:H95)</f>
        <v>51723123</v>
      </c>
      <c r="I91" s="177">
        <f t="shared" si="49"/>
        <v>46620209</v>
      </c>
      <c r="J91" s="177">
        <f t="shared" si="49"/>
        <v>0</v>
      </c>
      <c r="K91" s="177">
        <f t="shared" si="49"/>
        <v>80998827</v>
      </c>
      <c r="L91" s="177">
        <f t="shared" si="49"/>
        <v>0</v>
      </c>
      <c r="M91" s="177">
        <f t="shared" si="49"/>
        <v>0</v>
      </c>
      <c r="N91" s="177">
        <f t="shared" si="49"/>
        <v>0</v>
      </c>
      <c r="O91" s="177">
        <f t="shared" si="49"/>
        <v>0</v>
      </c>
      <c r="P91" s="177">
        <f t="shared" si="49"/>
        <v>0</v>
      </c>
      <c r="Q91" s="177">
        <f t="shared" si="49"/>
        <v>0</v>
      </c>
      <c r="R91" s="177">
        <f t="shared" si="49"/>
        <v>0</v>
      </c>
      <c r="S91" s="177">
        <f t="shared" si="49"/>
        <v>0</v>
      </c>
      <c r="T91" s="177">
        <f t="shared" si="49"/>
        <v>0</v>
      </c>
      <c r="U91" s="177">
        <f t="shared" si="49"/>
        <v>0</v>
      </c>
      <c r="V91" s="177">
        <f t="shared" si="49"/>
        <v>0</v>
      </c>
      <c r="W91" s="177">
        <f t="shared" si="49"/>
        <v>0</v>
      </c>
      <c r="X91" s="177">
        <f t="shared" si="49"/>
        <v>0</v>
      </c>
      <c r="Y91" s="177">
        <f t="shared" si="49"/>
        <v>30818946</v>
      </c>
      <c r="Z91" s="177">
        <f t="shared" si="49"/>
        <v>32231453</v>
      </c>
      <c r="AA91" s="177">
        <f t="shared" si="49"/>
        <v>0</v>
      </c>
      <c r="AB91" s="177">
        <f t="shared" si="49"/>
        <v>0</v>
      </c>
      <c r="AC91" s="177">
        <f t="shared" si="49"/>
        <v>38267442</v>
      </c>
      <c r="AD91" s="177">
        <f t="shared" si="49"/>
        <v>0</v>
      </c>
      <c r="AE91" s="177">
        <f t="shared" si="49"/>
        <v>0</v>
      </c>
      <c r="AF91" s="177">
        <f t="shared" si="49"/>
        <v>0</v>
      </c>
      <c r="AG91" s="177">
        <f t="shared" si="49"/>
        <v>0</v>
      </c>
      <c r="AH91" s="177">
        <f t="shared" si="49"/>
        <v>0</v>
      </c>
      <c r="AI91" s="177">
        <f t="shared" si="49"/>
        <v>0</v>
      </c>
      <c r="AJ91" s="177">
        <f t="shared" si="49"/>
        <v>0</v>
      </c>
      <c r="AK91" s="177">
        <f t="shared" si="49"/>
        <v>0</v>
      </c>
      <c r="AL91" s="177">
        <f t="shared" si="49"/>
        <v>0</v>
      </c>
      <c r="AM91" s="177">
        <f t="shared" si="49"/>
        <v>0</v>
      </c>
      <c r="AN91" s="177">
        <f t="shared" si="49"/>
        <v>0</v>
      </c>
      <c r="AO91" s="177">
        <f t="shared" si="49"/>
        <v>10000000</v>
      </c>
      <c r="AP91" s="177">
        <f t="shared" si="49"/>
        <v>0</v>
      </c>
      <c r="AQ91" s="177">
        <f t="shared" si="49"/>
        <v>0</v>
      </c>
      <c r="AR91" s="177">
        <f t="shared" si="49"/>
        <v>0</v>
      </c>
      <c r="AS91" s="177">
        <f t="shared" si="49"/>
        <v>0</v>
      </c>
      <c r="AT91" s="177">
        <f t="shared" si="49"/>
        <v>0</v>
      </c>
      <c r="AU91" s="177">
        <f t="shared" si="49"/>
        <v>0</v>
      </c>
      <c r="AV91" s="177">
        <f t="shared" si="49"/>
        <v>0</v>
      </c>
      <c r="AW91" s="177">
        <f t="shared" si="49"/>
        <v>0</v>
      </c>
      <c r="AX91" s="177">
        <f t="shared" si="49"/>
        <v>0</v>
      </c>
      <c r="AY91" s="177">
        <f t="shared" si="49"/>
        <v>0</v>
      </c>
      <c r="AZ91" s="177">
        <f t="shared" si="49"/>
        <v>0</v>
      </c>
      <c r="BA91" s="177">
        <f t="shared" si="49"/>
        <v>0</v>
      </c>
      <c r="BB91" s="268">
        <f t="shared" si="49"/>
        <v>0</v>
      </c>
      <c r="BC91" s="189"/>
      <c r="BD91" s="189"/>
      <c r="BE91" s="189"/>
      <c r="BF91" s="189"/>
      <c r="BG91" s="189"/>
      <c r="BH91" s="189"/>
      <c r="BI91" s="189"/>
      <c r="BJ91" s="189"/>
      <c r="BK91" s="189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</row>
    <row r="92" spans="1:75" s="212" customFormat="1" ht="35.25" customHeight="1" x14ac:dyDescent="0.25">
      <c r="A92" s="24" t="s">
        <v>57</v>
      </c>
      <c r="B92" s="25" t="s">
        <v>58</v>
      </c>
      <c r="C92" s="25" t="s">
        <v>59</v>
      </c>
      <c r="D92" s="25" t="s">
        <v>60</v>
      </c>
      <c r="E92" s="25" t="s">
        <v>61</v>
      </c>
      <c r="F92" s="26" t="s">
        <v>62</v>
      </c>
      <c r="G92" s="191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  <c r="AH92" s="180"/>
      <c r="AI92" s="180"/>
      <c r="AJ92" s="180"/>
      <c r="AK92" s="180"/>
      <c r="AL92" s="180"/>
      <c r="AM92" s="180"/>
      <c r="AN92" s="180"/>
      <c r="AO92" s="180"/>
      <c r="AP92" s="180"/>
      <c r="AQ92" s="180"/>
      <c r="AR92" s="180"/>
      <c r="AS92" s="180"/>
      <c r="AT92" s="180"/>
      <c r="AU92" s="180"/>
      <c r="AV92" s="180"/>
      <c r="AW92" s="180"/>
      <c r="AX92" s="180"/>
      <c r="AY92" s="180"/>
      <c r="AZ92" s="180"/>
      <c r="BA92" s="180"/>
      <c r="BB92" s="211"/>
      <c r="BC92" s="189"/>
      <c r="BD92" s="189"/>
      <c r="BE92" s="189"/>
      <c r="BF92" s="189"/>
      <c r="BG92" s="189"/>
      <c r="BH92" s="189"/>
      <c r="BI92" s="189"/>
      <c r="BJ92" s="189"/>
      <c r="BK92" s="189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</row>
    <row r="93" spans="1:75" s="212" customFormat="1" ht="68.25" customHeight="1" x14ac:dyDescent="0.25">
      <c r="A93" s="291" t="s">
        <v>276</v>
      </c>
      <c r="B93" s="277" t="s">
        <v>277</v>
      </c>
      <c r="C93" s="292" t="s">
        <v>65</v>
      </c>
      <c r="D93" s="293" t="s">
        <v>278</v>
      </c>
      <c r="E93" s="294">
        <v>1</v>
      </c>
      <c r="F93" s="269">
        <f t="shared" ref="F93:F98" si="50">SUM(H93:BB93)</f>
        <v>0</v>
      </c>
      <c r="G93" s="267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18"/>
      <c r="BC93" s="189"/>
      <c r="BD93" s="189"/>
      <c r="BE93" s="189"/>
      <c r="BF93" s="189"/>
      <c r="BG93" s="189"/>
      <c r="BH93" s="189"/>
      <c r="BI93" s="189"/>
      <c r="BJ93" s="189"/>
      <c r="BK93" s="189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</row>
    <row r="94" spans="1:75" ht="46.5" customHeight="1" x14ac:dyDescent="0.25">
      <c r="A94" s="73" t="s">
        <v>279</v>
      </c>
      <c r="B94" s="277" t="s">
        <v>280</v>
      </c>
      <c r="C94" s="11" t="s">
        <v>65</v>
      </c>
      <c r="D94" s="12" t="s">
        <v>281</v>
      </c>
      <c r="E94" s="31">
        <v>3</v>
      </c>
      <c r="F94" s="186">
        <f t="shared" si="50"/>
        <v>290660000</v>
      </c>
      <c r="G94" s="198"/>
      <c r="H94" s="179">
        <f>21100000+21723123-21100000+30000000</f>
        <v>51723123</v>
      </c>
      <c r="I94" s="179">
        <f>2500000+43460209+660000</f>
        <v>46620209</v>
      </c>
      <c r="J94" s="179"/>
      <c r="K94" s="179">
        <v>80998827</v>
      </c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>
        <f>9718946+21100000</f>
        <v>30818946</v>
      </c>
      <c r="Z94" s="179">
        <v>32231453</v>
      </c>
      <c r="AA94" s="179"/>
      <c r="AB94" s="179"/>
      <c r="AC94" s="179">
        <v>38267442</v>
      </c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>
        <v>10000000</v>
      </c>
      <c r="AP94" s="179"/>
      <c r="AQ94" s="179"/>
      <c r="AR94" s="179"/>
      <c r="AS94" s="179"/>
      <c r="AT94" s="179"/>
      <c r="AU94" s="179"/>
      <c r="AV94" s="179"/>
      <c r="AW94" s="179"/>
      <c r="AX94" s="179"/>
      <c r="AY94" s="179"/>
      <c r="AZ94" s="179"/>
      <c r="BA94" s="179"/>
      <c r="BB94" s="213"/>
    </row>
    <row r="95" spans="1:75" ht="51.75" customHeight="1" x14ac:dyDescent="0.25">
      <c r="A95" s="73" t="s">
        <v>282</v>
      </c>
      <c r="B95" s="277" t="s">
        <v>283</v>
      </c>
      <c r="C95" s="11" t="s">
        <v>65</v>
      </c>
      <c r="D95" s="12" t="s">
        <v>284</v>
      </c>
      <c r="E95" s="31"/>
      <c r="F95" s="186">
        <f t="shared" si="50"/>
        <v>0</v>
      </c>
      <c r="G95" s="198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9"/>
      <c r="AH95" s="179"/>
      <c r="AI95" s="179"/>
      <c r="AJ95" s="179"/>
      <c r="AK95" s="179"/>
      <c r="AL95" s="179"/>
      <c r="AM95" s="179"/>
      <c r="AN95" s="179"/>
      <c r="AO95" s="179"/>
      <c r="AP95" s="179"/>
      <c r="AQ95" s="179"/>
      <c r="AR95" s="179"/>
      <c r="AS95" s="179"/>
      <c r="AT95" s="179"/>
      <c r="AU95" s="179"/>
      <c r="AV95" s="179"/>
      <c r="AW95" s="179"/>
      <c r="AX95" s="179"/>
      <c r="AY95" s="179"/>
      <c r="AZ95" s="179"/>
      <c r="BA95" s="179"/>
      <c r="BB95" s="213"/>
    </row>
    <row r="96" spans="1:75" s="209" customFormat="1" ht="24" customHeight="1" x14ac:dyDescent="0.25">
      <c r="A96" s="16" t="s">
        <v>285</v>
      </c>
      <c r="B96" s="16" t="s">
        <v>286</v>
      </c>
      <c r="C96" s="357"/>
      <c r="D96" s="357"/>
      <c r="E96" s="17"/>
      <c r="F96" s="175">
        <f t="shared" si="50"/>
        <v>5642384032</v>
      </c>
      <c r="G96" s="175">
        <f t="shared" ref="G96:AL96" si="51">+G97+G122</f>
        <v>0</v>
      </c>
      <c r="H96" s="175">
        <f t="shared" si="51"/>
        <v>1301405507</v>
      </c>
      <c r="I96" s="175">
        <f t="shared" si="51"/>
        <v>191337184</v>
      </c>
      <c r="J96" s="175">
        <f t="shared" si="51"/>
        <v>12985292</v>
      </c>
      <c r="K96" s="175">
        <f t="shared" si="51"/>
        <v>0</v>
      </c>
      <c r="L96" s="175">
        <f t="shared" si="51"/>
        <v>121100000</v>
      </c>
      <c r="M96" s="175">
        <f t="shared" si="51"/>
        <v>206328685</v>
      </c>
      <c r="N96" s="175">
        <f t="shared" si="51"/>
        <v>50000000</v>
      </c>
      <c r="O96" s="175">
        <f t="shared" si="51"/>
        <v>390823304</v>
      </c>
      <c r="P96" s="175">
        <f t="shared" si="51"/>
        <v>0</v>
      </c>
      <c r="Q96" s="175">
        <f t="shared" si="51"/>
        <v>0</v>
      </c>
      <c r="R96" s="175">
        <f t="shared" si="51"/>
        <v>15600504</v>
      </c>
      <c r="S96" s="175">
        <f t="shared" si="51"/>
        <v>500000</v>
      </c>
      <c r="T96" s="175">
        <f t="shared" si="51"/>
        <v>50000000</v>
      </c>
      <c r="U96" s="175">
        <f t="shared" si="51"/>
        <v>50000000</v>
      </c>
      <c r="V96" s="175">
        <f t="shared" si="51"/>
        <v>0</v>
      </c>
      <c r="W96" s="175">
        <f t="shared" si="51"/>
        <v>0</v>
      </c>
      <c r="X96" s="175">
        <f t="shared" si="51"/>
        <v>63422167</v>
      </c>
      <c r="Y96" s="175">
        <f t="shared" si="51"/>
        <v>1637072741</v>
      </c>
      <c r="Z96" s="175">
        <f t="shared" si="51"/>
        <v>236917478</v>
      </c>
      <c r="AA96" s="175">
        <f t="shared" si="51"/>
        <v>0</v>
      </c>
      <c r="AB96" s="175">
        <f t="shared" si="51"/>
        <v>0</v>
      </c>
      <c r="AC96" s="175">
        <f t="shared" si="51"/>
        <v>0</v>
      </c>
      <c r="AD96" s="175">
        <f t="shared" si="51"/>
        <v>195463224</v>
      </c>
      <c r="AE96" s="175">
        <f t="shared" si="51"/>
        <v>0</v>
      </c>
      <c r="AF96" s="175">
        <f t="shared" si="51"/>
        <v>0</v>
      </c>
      <c r="AG96" s="175">
        <f t="shared" si="51"/>
        <v>71630786</v>
      </c>
      <c r="AH96" s="175">
        <f t="shared" si="51"/>
        <v>108901012</v>
      </c>
      <c r="AI96" s="175">
        <f t="shared" si="51"/>
        <v>0</v>
      </c>
      <c r="AJ96" s="175">
        <f t="shared" si="51"/>
        <v>0</v>
      </c>
      <c r="AK96" s="175">
        <f t="shared" si="51"/>
        <v>0</v>
      </c>
      <c r="AL96" s="175">
        <f t="shared" si="51"/>
        <v>397832317</v>
      </c>
      <c r="AM96" s="175">
        <f t="shared" ref="AM96:BB96" si="52">+AM97+AM122</f>
        <v>22939941</v>
      </c>
      <c r="AN96" s="175">
        <f t="shared" si="52"/>
        <v>0</v>
      </c>
      <c r="AO96" s="175">
        <f t="shared" si="52"/>
        <v>504437257</v>
      </c>
      <c r="AP96" s="175">
        <f t="shared" si="52"/>
        <v>0</v>
      </c>
      <c r="AQ96" s="175">
        <f t="shared" si="52"/>
        <v>6210000</v>
      </c>
      <c r="AR96" s="175">
        <f t="shared" si="52"/>
        <v>0</v>
      </c>
      <c r="AS96" s="175">
        <f t="shared" si="52"/>
        <v>0</v>
      </c>
      <c r="AT96" s="175">
        <f t="shared" si="52"/>
        <v>0</v>
      </c>
      <c r="AU96" s="175">
        <f t="shared" si="52"/>
        <v>0</v>
      </c>
      <c r="AV96" s="175">
        <f t="shared" si="52"/>
        <v>0</v>
      </c>
      <c r="AW96" s="175">
        <f t="shared" si="52"/>
        <v>0</v>
      </c>
      <c r="AX96" s="175">
        <f t="shared" si="52"/>
        <v>7476633</v>
      </c>
      <c r="AY96" s="175">
        <f t="shared" si="52"/>
        <v>0</v>
      </c>
      <c r="AZ96" s="175">
        <f t="shared" si="52"/>
        <v>0</v>
      </c>
      <c r="BA96" s="175">
        <f t="shared" si="52"/>
        <v>0</v>
      </c>
      <c r="BB96" s="187">
        <f t="shared" si="52"/>
        <v>0</v>
      </c>
      <c r="BC96" s="189"/>
      <c r="BD96" s="189"/>
      <c r="BE96" s="189"/>
      <c r="BF96" s="189"/>
      <c r="BG96" s="189"/>
      <c r="BH96" s="189"/>
      <c r="BI96" s="189"/>
      <c r="BJ96" s="189"/>
      <c r="BK96" s="189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</row>
    <row r="97" spans="1:75" s="20" customFormat="1" ht="32.1" customHeight="1" x14ac:dyDescent="0.25">
      <c r="A97" s="18" t="s">
        <v>287</v>
      </c>
      <c r="B97" s="18" t="s">
        <v>288</v>
      </c>
      <c r="C97" s="356"/>
      <c r="D97" s="356"/>
      <c r="E97" s="19"/>
      <c r="F97" s="176">
        <f t="shared" si="50"/>
        <v>3221566663</v>
      </c>
      <c r="G97" s="176">
        <f>+G98+G111+G115</f>
        <v>0</v>
      </c>
      <c r="H97" s="176">
        <f>+H98+H111+H115</f>
        <v>266745507</v>
      </c>
      <c r="I97" s="176">
        <f t="shared" ref="I97:L97" si="53">+I98+I111+I115</f>
        <v>20000000</v>
      </c>
      <c r="J97" s="176">
        <f t="shared" si="53"/>
        <v>0</v>
      </c>
      <c r="K97" s="176">
        <f t="shared" si="53"/>
        <v>0</v>
      </c>
      <c r="L97" s="176">
        <f t="shared" si="53"/>
        <v>0</v>
      </c>
      <c r="M97" s="176">
        <f t="shared" ref="M97:R97" si="54">+M98+M111+M115</f>
        <v>206328685</v>
      </c>
      <c r="N97" s="176">
        <f t="shared" si="54"/>
        <v>0</v>
      </c>
      <c r="O97" s="176">
        <f t="shared" si="54"/>
        <v>160823304</v>
      </c>
      <c r="P97" s="176">
        <f t="shared" si="54"/>
        <v>0</v>
      </c>
      <c r="Q97" s="176">
        <f t="shared" si="54"/>
        <v>0</v>
      </c>
      <c r="R97" s="176">
        <f t="shared" si="54"/>
        <v>15600504</v>
      </c>
      <c r="S97" s="176">
        <f t="shared" ref="S97:W97" si="55">+S98+S111+S115</f>
        <v>500000</v>
      </c>
      <c r="T97" s="176">
        <f t="shared" si="55"/>
        <v>0</v>
      </c>
      <c r="U97" s="176">
        <f t="shared" si="55"/>
        <v>0</v>
      </c>
      <c r="V97" s="176">
        <f t="shared" si="55"/>
        <v>0</v>
      </c>
      <c r="W97" s="176">
        <f t="shared" si="55"/>
        <v>0</v>
      </c>
      <c r="X97" s="176">
        <f t="shared" ref="X97:BB97" si="56">+X98+X111+X115</f>
        <v>0</v>
      </c>
      <c r="Y97" s="176">
        <f t="shared" si="56"/>
        <v>1567998847</v>
      </c>
      <c r="Z97" s="176">
        <f t="shared" si="56"/>
        <v>0</v>
      </c>
      <c r="AA97" s="176">
        <f t="shared" si="56"/>
        <v>0</v>
      </c>
      <c r="AB97" s="176">
        <f t="shared" si="56"/>
        <v>0</v>
      </c>
      <c r="AC97" s="176">
        <f t="shared" si="56"/>
        <v>0</v>
      </c>
      <c r="AD97" s="176">
        <f t="shared" si="56"/>
        <v>0</v>
      </c>
      <c r="AE97" s="176">
        <f t="shared" si="56"/>
        <v>0</v>
      </c>
      <c r="AF97" s="176">
        <f t="shared" si="56"/>
        <v>0</v>
      </c>
      <c r="AG97" s="176">
        <f t="shared" si="56"/>
        <v>0</v>
      </c>
      <c r="AH97" s="176">
        <f t="shared" si="56"/>
        <v>108901012</v>
      </c>
      <c r="AI97" s="176">
        <f t="shared" si="56"/>
        <v>0</v>
      </c>
      <c r="AJ97" s="176">
        <f t="shared" si="56"/>
        <v>0</v>
      </c>
      <c r="AK97" s="176">
        <f t="shared" si="56"/>
        <v>0</v>
      </c>
      <c r="AL97" s="176">
        <f t="shared" si="56"/>
        <v>397832317</v>
      </c>
      <c r="AM97" s="176">
        <f t="shared" si="56"/>
        <v>22939941</v>
      </c>
      <c r="AN97" s="176">
        <f t="shared" si="56"/>
        <v>0</v>
      </c>
      <c r="AO97" s="176">
        <f t="shared" si="56"/>
        <v>440209913</v>
      </c>
      <c r="AP97" s="176">
        <f t="shared" si="56"/>
        <v>0</v>
      </c>
      <c r="AQ97" s="176">
        <f t="shared" si="56"/>
        <v>6210000</v>
      </c>
      <c r="AR97" s="176">
        <f t="shared" si="56"/>
        <v>0</v>
      </c>
      <c r="AS97" s="176">
        <f t="shared" si="56"/>
        <v>0</v>
      </c>
      <c r="AT97" s="176">
        <f t="shared" si="56"/>
        <v>0</v>
      </c>
      <c r="AU97" s="176">
        <f t="shared" si="56"/>
        <v>0</v>
      </c>
      <c r="AV97" s="176">
        <f t="shared" si="56"/>
        <v>0</v>
      </c>
      <c r="AW97" s="176">
        <f t="shared" si="56"/>
        <v>0</v>
      </c>
      <c r="AX97" s="176">
        <f t="shared" si="56"/>
        <v>7476633</v>
      </c>
      <c r="AY97" s="176">
        <f t="shared" si="56"/>
        <v>0</v>
      </c>
      <c r="AZ97" s="176">
        <f t="shared" si="56"/>
        <v>0</v>
      </c>
      <c r="BA97" s="176">
        <f t="shared" si="56"/>
        <v>0</v>
      </c>
      <c r="BB97" s="188">
        <f t="shared" si="56"/>
        <v>0</v>
      </c>
      <c r="BC97" s="189"/>
      <c r="BD97" s="189"/>
      <c r="BE97" s="189"/>
      <c r="BF97" s="189"/>
      <c r="BG97" s="189"/>
      <c r="BH97" s="189"/>
      <c r="BI97" s="189"/>
      <c r="BJ97" s="189"/>
      <c r="BK97" s="189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</row>
    <row r="98" spans="1:75" s="210" customFormat="1" ht="27" customHeight="1" x14ac:dyDescent="0.25">
      <c r="A98" s="21" t="s">
        <v>289</v>
      </c>
      <c r="B98" s="22" t="s">
        <v>290</v>
      </c>
      <c r="C98" s="21" t="s">
        <v>56</v>
      </c>
      <c r="D98" s="21">
        <v>3201</v>
      </c>
      <c r="E98" s="23"/>
      <c r="F98" s="177">
        <f t="shared" si="50"/>
        <v>1565013359</v>
      </c>
      <c r="G98" s="177">
        <f>SUM(G100:G110)</f>
        <v>0</v>
      </c>
      <c r="H98" s="177">
        <f t="shared" ref="H98:BB98" si="57">SUM(H100:H110)</f>
        <v>152784680</v>
      </c>
      <c r="I98" s="177">
        <f t="shared" ref="I98:L98" si="58">SUM(I100:I110)</f>
        <v>0</v>
      </c>
      <c r="J98" s="177">
        <f t="shared" si="58"/>
        <v>0</v>
      </c>
      <c r="K98" s="177">
        <f t="shared" si="58"/>
        <v>0</v>
      </c>
      <c r="L98" s="177">
        <f t="shared" si="58"/>
        <v>0</v>
      </c>
      <c r="M98" s="177">
        <f t="shared" si="57"/>
        <v>206328685</v>
      </c>
      <c r="N98" s="177">
        <f t="shared" si="57"/>
        <v>0</v>
      </c>
      <c r="O98" s="177">
        <f t="shared" si="57"/>
        <v>0</v>
      </c>
      <c r="P98" s="177">
        <f t="shared" si="57"/>
        <v>0</v>
      </c>
      <c r="Q98" s="177">
        <f t="shared" si="57"/>
        <v>0</v>
      </c>
      <c r="R98" s="177">
        <f t="shared" si="57"/>
        <v>15600504</v>
      </c>
      <c r="S98" s="177">
        <f t="shared" ref="S98:W98" si="59">SUM(S100:S110)</f>
        <v>0</v>
      </c>
      <c r="T98" s="177">
        <f t="shared" si="59"/>
        <v>0</v>
      </c>
      <c r="U98" s="177">
        <f t="shared" si="59"/>
        <v>0</v>
      </c>
      <c r="V98" s="177">
        <f t="shared" si="59"/>
        <v>0</v>
      </c>
      <c r="W98" s="177">
        <f t="shared" si="59"/>
        <v>0</v>
      </c>
      <c r="X98" s="177">
        <f t="shared" si="57"/>
        <v>0</v>
      </c>
      <c r="Y98" s="177">
        <f t="shared" si="57"/>
        <v>643356752</v>
      </c>
      <c r="Z98" s="177">
        <f t="shared" si="57"/>
        <v>0</v>
      </c>
      <c r="AA98" s="177">
        <f t="shared" si="57"/>
        <v>0</v>
      </c>
      <c r="AB98" s="177">
        <f t="shared" si="57"/>
        <v>0</v>
      </c>
      <c r="AC98" s="177">
        <f t="shared" si="57"/>
        <v>0</v>
      </c>
      <c r="AD98" s="177">
        <f>SUM(AD100:AD110)</f>
        <v>0</v>
      </c>
      <c r="AE98" s="177">
        <f t="shared" si="57"/>
        <v>0</v>
      </c>
      <c r="AF98" s="177">
        <f t="shared" si="57"/>
        <v>0</v>
      </c>
      <c r="AG98" s="177">
        <f t="shared" si="57"/>
        <v>0</v>
      </c>
      <c r="AH98" s="177">
        <f t="shared" si="57"/>
        <v>108901012</v>
      </c>
      <c r="AI98" s="177">
        <f t="shared" si="57"/>
        <v>0</v>
      </c>
      <c r="AJ98" s="177">
        <f t="shared" si="57"/>
        <v>0</v>
      </c>
      <c r="AK98" s="177">
        <f t="shared" si="57"/>
        <v>0</v>
      </c>
      <c r="AL98" s="177">
        <f t="shared" si="57"/>
        <v>397832317</v>
      </c>
      <c r="AM98" s="177">
        <f t="shared" si="57"/>
        <v>22939941</v>
      </c>
      <c r="AN98" s="177">
        <f t="shared" si="57"/>
        <v>0</v>
      </c>
      <c r="AO98" s="177">
        <f t="shared" si="57"/>
        <v>3582835</v>
      </c>
      <c r="AP98" s="177">
        <f t="shared" si="57"/>
        <v>0</v>
      </c>
      <c r="AQ98" s="177">
        <f t="shared" si="57"/>
        <v>6210000</v>
      </c>
      <c r="AR98" s="177">
        <f t="shared" si="57"/>
        <v>0</v>
      </c>
      <c r="AS98" s="177">
        <f t="shared" si="57"/>
        <v>0</v>
      </c>
      <c r="AT98" s="177">
        <f t="shared" si="57"/>
        <v>0</v>
      </c>
      <c r="AU98" s="177">
        <f>SUM(AU100:AU110)</f>
        <v>0</v>
      </c>
      <c r="AV98" s="177">
        <f>SUM(AV100:AV110)</f>
        <v>0</v>
      </c>
      <c r="AW98" s="177">
        <f>SUM(AW100:AW110)</f>
        <v>0</v>
      </c>
      <c r="AX98" s="177">
        <f>SUM(AX100:AX110)</f>
        <v>7476633</v>
      </c>
      <c r="AY98" s="177">
        <f>SUM(AY100:AY110)</f>
        <v>0</v>
      </c>
      <c r="AZ98" s="177">
        <f t="shared" si="57"/>
        <v>0</v>
      </c>
      <c r="BA98" s="177">
        <f t="shared" si="57"/>
        <v>0</v>
      </c>
      <c r="BB98" s="190">
        <f t="shared" si="57"/>
        <v>0</v>
      </c>
      <c r="BC98" s="189"/>
      <c r="BD98" s="189"/>
      <c r="BE98" s="189"/>
      <c r="BF98" s="189"/>
      <c r="BG98" s="189"/>
      <c r="BH98" s="189"/>
      <c r="BI98" s="189"/>
      <c r="BJ98" s="189"/>
      <c r="BK98" s="189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</row>
    <row r="99" spans="1:75" s="212" customFormat="1" ht="25.5" x14ac:dyDescent="0.25">
      <c r="A99" s="32" t="s">
        <v>57</v>
      </c>
      <c r="B99" s="25" t="s">
        <v>58</v>
      </c>
      <c r="C99" s="25" t="s">
        <v>59</v>
      </c>
      <c r="D99" s="25" t="s">
        <v>60</v>
      </c>
      <c r="E99" s="25" t="s">
        <v>61</v>
      </c>
      <c r="F99" s="26" t="s">
        <v>62</v>
      </c>
      <c r="G99" s="191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0"/>
      <c r="AL99" s="180"/>
      <c r="AM99" s="180"/>
      <c r="AN99" s="180"/>
      <c r="AO99" s="180"/>
      <c r="AP99" s="180"/>
      <c r="AQ99" s="180"/>
      <c r="AR99" s="180"/>
      <c r="AS99" s="180"/>
      <c r="AT99" s="180"/>
      <c r="AU99" s="180"/>
      <c r="AV99" s="180"/>
      <c r="AW99" s="180"/>
      <c r="AX99" s="180"/>
      <c r="AY99" s="180"/>
      <c r="AZ99" s="180"/>
      <c r="BA99" s="180"/>
      <c r="BB99" s="211"/>
      <c r="BC99" s="189"/>
      <c r="BD99" s="189"/>
      <c r="BE99" s="189"/>
      <c r="BF99" s="189"/>
      <c r="BG99" s="189"/>
      <c r="BH99" s="189"/>
      <c r="BI99" s="189"/>
      <c r="BJ99" s="189"/>
      <c r="BK99" s="189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</row>
    <row r="100" spans="1:75" ht="99" customHeight="1" x14ac:dyDescent="0.25">
      <c r="A100" s="27" t="s">
        <v>291</v>
      </c>
      <c r="B100" s="317" t="s">
        <v>292</v>
      </c>
      <c r="C100" s="31" t="s">
        <v>65</v>
      </c>
      <c r="D100" s="317" t="s">
        <v>293</v>
      </c>
      <c r="E100" s="31">
        <v>16</v>
      </c>
      <c r="F100" s="195">
        <f t="shared" ref="F100:F111" si="60">SUM(H100:BB100)</f>
        <v>0</v>
      </c>
      <c r="G100" s="197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79"/>
      <c r="AT100" s="179"/>
      <c r="AU100" s="179"/>
      <c r="AV100" s="179"/>
      <c r="AW100" s="179"/>
      <c r="AX100" s="179"/>
      <c r="AY100" s="179"/>
      <c r="AZ100" s="179"/>
      <c r="BA100" s="179"/>
      <c r="BB100" s="213"/>
    </row>
    <row r="101" spans="1:75" ht="25.5" x14ac:dyDescent="0.25">
      <c r="A101" s="335" t="s">
        <v>294</v>
      </c>
      <c r="B101" s="317" t="s">
        <v>295</v>
      </c>
      <c r="C101" s="31" t="s">
        <v>296</v>
      </c>
      <c r="D101" s="317" t="s">
        <v>297</v>
      </c>
      <c r="E101" s="31">
        <v>1</v>
      </c>
      <c r="F101" s="195">
        <f t="shared" si="60"/>
        <v>0</v>
      </c>
      <c r="G101" s="192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79"/>
      <c r="AT101" s="179"/>
      <c r="AU101" s="179"/>
      <c r="AV101" s="179"/>
      <c r="AW101" s="179"/>
      <c r="AX101" s="179"/>
      <c r="AY101" s="179"/>
      <c r="AZ101" s="179"/>
      <c r="BA101" s="179"/>
      <c r="BB101" s="213"/>
    </row>
    <row r="102" spans="1:75" ht="25.5" x14ac:dyDescent="0.25">
      <c r="A102" s="335" t="s">
        <v>298</v>
      </c>
      <c r="B102" s="317" t="s">
        <v>299</v>
      </c>
      <c r="C102" s="317" t="s">
        <v>65</v>
      </c>
      <c r="D102" s="317" t="s">
        <v>300</v>
      </c>
      <c r="E102" s="31">
        <v>3</v>
      </c>
      <c r="F102" s="195">
        <f t="shared" si="60"/>
        <v>0</v>
      </c>
      <c r="G102" s="192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213"/>
      <c r="BF102" s="189">
        <f>704352000+566400000</f>
        <v>1270752000</v>
      </c>
    </row>
    <row r="103" spans="1:75" ht="75.75" customHeight="1" x14ac:dyDescent="0.25">
      <c r="A103" s="335" t="s">
        <v>301</v>
      </c>
      <c r="B103" s="317" t="s">
        <v>302</v>
      </c>
      <c r="C103" s="31" t="s">
        <v>65</v>
      </c>
      <c r="D103" s="317" t="s">
        <v>303</v>
      </c>
      <c r="E103" s="31">
        <v>20</v>
      </c>
      <c r="F103" s="195">
        <f t="shared" si="60"/>
        <v>0</v>
      </c>
      <c r="G103" s="192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79"/>
      <c r="AT103" s="179"/>
      <c r="AU103" s="179"/>
      <c r="AV103" s="179"/>
      <c r="AW103" s="179"/>
      <c r="AX103" s="179"/>
      <c r="AY103" s="179"/>
      <c r="AZ103" s="179"/>
      <c r="BA103" s="179"/>
      <c r="BB103" s="213"/>
    </row>
    <row r="104" spans="1:75" ht="25.5" x14ac:dyDescent="0.25">
      <c r="A104" s="335" t="s">
        <v>304</v>
      </c>
      <c r="B104" s="317" t="s">
        <v>305</v>
      </c>
      <c r="C104" s="31" t="s">
        <v>65</v>
      </c>
      <c r="D104" s="317" t="s">
        <v>306</v>
      </c>
      <c r="E104" s="31">
        <v>96</v>
      </c>
      <c r="F104" s="195">
        <f t="shared" si="60"/>
        <v>254645000</v>
      </c>
      <c r="G104" s="192"/>
      <c r="H104" s="179">
        <f>65945426-2700000</f>
        <v>63245426</v>
      </c>
      <c r="I104" s="179"/>
      <c r="J104" s="179"/>
      <c r="K104" s="179"/>
      <c r="L104" s="179"/>
      <c r="M104" s="179">
        <f>254645000-65945426</f>
        <v>188699574</v>
      </c>
      <c r="N104" s="179"/>
      <c r="O104" s="179"/>
      <c r="P104" s="179"/>
      <c r="Q104" s="179"/>
      <c r="R104" s="179">
        <v>2700000</v>
      </c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213"/>
    </row>
    <row r="105" spans="1:75" ht="55.5" customHeight="1" x14ac:dyDescent="0.25">
      <c r="A105" s="335" t="s">
        <v>307</v>
      </c>
      <c r="B105" s="317" t="s">
        <v>308</v>
      </c>
      <c r="C105" s="31" t="s">
        <v>65</v>
      </c>
      <c r="D105" s="317" t="s">
        <v>309</v>
      </c>
      <c r="E105" s="31">
        <v>170</v>
      </c>
      <c r="F105" s="195">
        <f t="shared" si="60"/>
        <v>81593855</v>
      </c>
      <c r="G105" s="192"/>
      <c r="H105" s="179">
        <f>258393855-76800000-100000000-17629111</f>
        <v>63964744</v>
      </c>
      <c r="I105" s="179"/>
      <c r="J105" s="179"/>
      <c r="K105" s="179"/>
      <c r="L105" s="179"/>
      <c r="M105" s="179">
        <v>17629111</v>
      </c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79"/>
      <c r="AT105" s="179"/>
      <c r="AU105" s="179"/>
      <c r="AV105" s="179"/>
      <c r="AW105" s="179"/>
      <c r="AX105" s="179"/>
      <c r="AY105" s="179"/>
      <c r="AZ105" s="179"/>
      <c r="BA105" s="179"/>
      <c r="BB105" s="213"/>
    </row>
    <row r="106" spans="1:75" ht="55.5" customHeight="1" x14ac:dyDescent="0.25">
      <c r="A106" s="335" t="s">
        <v>310</v>
      </c>
      <c r="B106" s="317" t="s">
        <v>311</v>
      </c>
      <c r="C106" s="31" t="s">
        <v>65</v>
      </c>
      <c r="D106" s="317" t="s">
        <v>312</v>
      </c>
      <c r="E106" s="31">
        <v>635</v>
      </c>
      <c r="F106" s="195">
        <f t="shared" si="60"/>
        <v>369950400</v>
      </c>
      <c r="G106" s="192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>
        <v>261049388</v>
      </c>
      <c r="Z106" s="179"/>
      <c r="AA106" s="179"/>
      <c r="AB106" s="179"/>
      <c r="AC106" s="179"/>
      <c r="AD106" s="179"/>
      <c r="AE106" s="179"/>
      <c r="AF106" s="179"/>
      <c r="AG106" s="179"/>
      <c r="AH106" s="179">
        <v>108901012</v>
      </c>
      <c r="AI106" s="179"/>
      <c r="AJ106" s="179"/>
      <c r="AK106" s="179"/>
      <c r="AL106" s="179"/>
      <c r="AM106" s="179"/>
      <c r="AN106" s="179"/>
      <c r="AO106" s="179"/>
      <c r="AP106" s="179"/>
      <c r="AQ106" s="179"/>
      <c r="AR106" s="179"/>
      <c r="AS106" s="179"/>
      <c r="AT106" s="179"/>
      <c r="AU106" s="179"/>
      <c r="AV106" s="179"/>
      <c r="AW106" s="179"/>
      <c r="AX106" s="179"/>
      <c r="AY106" s="179"/>
      <c r="AZ106" s="179"/>
      <c r="BA106" s="179"/>
      <c r="BB106" s="213"/>
    </row>
    <row r="107" spans="1:75" ht="25.5" x14ac:dyDescent="0.25">
      <c r="A107" s="335" t="s">
        <v>313</v>
      </c>
      <c r="B107" s="317" t="s">
        <v>314</v>
      </c>
      <c r="C107" s="31" t="s">
        <v>65</v>
      </c>
      <c r="D107" s="317" t="s">
        <v>315</v>
      </c>
      <c r="E107" s="31">
        <v>634</v>
      </c>
      <c r="F107" s="195">
        <f t="shared" si="60"/>
        <v>341410000</v>
      </c>
      <c r="G107" s="192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>
        <f>103075698+163465302</f>
        <v>266541000</v>
      </c>
      <c r="Z107" s="179"/>
      <c r="AA107" s="179"/>
      <c r="AB107" s="179"/>
      <c r="AC107" s="179"/>
      <c r="AD107" s="179"/>
      <c r="AE107" s="179"/>
      <c r="AF107" s="179"/>
      <c r="AG107" s="179"/>
      <c r="AH107" s="179"/>
      <c r="AI107" s="179"/>
      <c r="AJ107" s="179"/>
      <c r="AK107" s="179"/>
      <c r="AL107" s="179">
        <v>74869000</v>
      </c>
      <c r="AM107" s="179"/>
      <c r="AN107" s="179"/>
      <c r="AO107" s="179"/>
      <c r="AP107" s="179"/>
      <c r="AQ107" s="179"/>
      <c r="AR107" s="179"/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213"/>
    </row>
    <row r="108" spans="1:75" ht="66.75" customHeight="1" x14ac:dyDescent="0.25">
      <c r="A108" s="335" t="s">
        <v>316</v>
      </c>
      <c r="B108" s="317" t="s">
        <v>317</v>
      </c>
      <c r="C108" s="31" t="s">
        <v>65</v>
      </c>
      <c r="D108" s="317" t="s">
        <v>318</v>
      </c>
      <c r="E108" s="31">
        <v>500</v>
      </c>
      <c r="F108" s="195">
        <f t="shared" si="60"/>
        <v>300000000</v>
      </c>
      <c r="G108" s="192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S108" s="179"/>
      <c r="T108" s="179"/>
      <c r="U108" s="179"/>
      <c r="V108" s="179"/>
      <c r="W108" s="179"/>
      <c r="X108" s="179"/>
      <c r="Y108" s="179">
        <v>84136683</v>
      </c>
      <c r="Z108" s="179"/>
      <c r="AA108" s="179"/>
      <c r="AB108" s="179"/>
      <c r="AC108" s="179"/>
      <c r="AD108" s="179"/>
      <c r="AE108" s="179"/>
      <c r="AF108" s="179"/>
      <c r="AG108" s="179"/>
      <c r="AH108" s="179"/>
      <c r="AI108" s="179"/>
      <c r="AJ108" s="179"/>
      <c r="AK108" s="179"/>
      <c r="AL108" s="179">
        <v>215863317</v>
      </c>
      <c r="AM108" s="179"/>
      <c r="AN108" s="179"/>
      <c r="AO108" s="179"/>
      <c r="AP108" s="179"/>
      <c r="AQ108" s="179"/>
      <c r="AR108" s="179"/>
      <c r="AS108" s="179"/>
      <c r="AT108" s="179"/>
      <c r="AU108" s="179"/>
      <c r="AV108" s="179"/>
      <c r="AW108" s="179"/>
      <c r="AX108" s="179"/>
      <c r="AY108" s="179"/>
      <c r="AZ108" s="179"/>
      <c r="BA108" s="179"/>
      <c r="BB108" s="213"/>
    </row>
    <row r="109" spans="1:75" ht="25.5" x14ac:dyDescent="0.25">
      <c r="A109" s="335" t="s">
        <v>319</v>
      </c>
      <c r="B109" s="317" t="s">
        <v>320</v>
      </c>
      <c r="C109" s="31" t="s">
        <v>154</v>
      </c>
      <c r="D109" s="317" t="s">
        <v>321</v>
      </c>
      <c r="E109" s="31">
        <v>100</v>
      </c>
      <c r="F109" s="195">
        <f t="shared" si="60"/>
        <v>120000504</v>
      </c>
      <c r="G109" s="192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>
        <v>12900504</v>
      </c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79"/>
      <c r="AF109" s="179"/>
      <c r="AG109" s="179"/>
      <c r="AH109" s="179"/>
      <c r="AI109" s="179"/>
      <c r="AJ109" s="179"/>
      <c r="AK109" s="179"/>
      <c r="AL109" s="179">
        <f>181969000-74869000</f>
        <v>107100000</v>
      </c>
      <c r="AM109" s="179"/>
      <c r="AN109" s="179"/>
      <c r="AO109" s="179"/>
      <c r="AP109" s="179"/>
      <c r="AQ109" s="179"/>
      <c r="AR109" s="179"/>
      <c r="AS109" s="179"/>
      <c r="AT109" s="179"/>
      <c r="AU109" s="179"/>
      <c r="AV109" s="179"/>
      <c r="AW109" s="179"/>
      <c r="AX109" s="179"/>
      <c r="AY109" s="179"/>
      <c r="AZ109" s="179"/>
      <c r="BA109" s="179"/>
      <c r="BB109" s="213"/>
    </row>
    <row r="110" spans="1:75" ht="65.25" customHeight="1" x14ac:dyDescent="0.25">
      <c r="A110" s="335" t="s">
        <v>322</v>
      </c>
      <c r="B110" s="317" t="s">
        <v>323</v>
      </c>
      <c r="C110" s="31" t="s">
        <v>154</v>
      </c>
      <c r="D110" s="317" t="s">
        <v>324</v>
      </c>
      <c r="E110" s="31">
        <v>100</v>
      </c>
      <c r="F110" s="195">
        <f t="shared" si="60"/>
        <v>97413600</v>
      </c>
      <c r="G110" s="192"/>
      <c r="H110" s="179">
        <f>129855309-20000000-2651118-50000000-31629681</f>
        <v>25574510</v>
      </c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>
        <v>31629681</v>
      </c>
      <c r="Z110" s="179"/>
      <c r="AA110" s="179"/>
      <c r="AB110" s="179"/>
      <c r="AC110" s="179"/>
      <c r="AD110" s="179"/>
      <c r="AE110" s="179"/>
      <c r="AF110" s="179"/>
      <c r="AG110" s="179"/>
      <c r="AH110" s="179"/>
      <c r="AI110" s="179"/>
      <c r="AJ110" s="179"/>
      <c r="AK110" s="179"/>
      <c r="AL110" s="179"/>
      <c r="AM110" s="179">
        <f>20288823+2651118</f>
        <v>22939941</v>
      </c>
      <c r="AN110" s="179"/>
      <c r="AO110" s="179">
        <v>3582835</v>
      </c>
      <c r="AP110" s="179"/>
      <c r="AQ110" s="179">
        <v>6210000</v>
      </c>
      <c r="AR110" s="179"/>
      <c r="AS110" s="179"/>
      <c r="AT110" s="179"/>
      <c r="AU110" s="179"/>
      <c r="AV110" s="179"/>
      <c r="AW110" s="179"/>
      <c r="AX110" s="179">
        <v>7476633</v>
      </c>
      <c r="AY110" s="179"/>
      <c r="AZ110" s="179"/>
      <c r="BA110" s="179"/>
      <c r="BB110" s="213"/>
    </row>
    <row r="111" spans="1:75" s="210" customFormat="1" ht="12.75" x14ac:dyDescent="0.25">
      <c r="A111" s="33" t="s">
        <v>325</v>
      </c>
      <c r="B111" s="22" t="s">
        <v>326</v>
      </c>
      <c r="C111" s="34" t="s">
        <v>163</v>
      </c>
      <c r="D111" s="21">
        <v>3299</v>
      </c>
      <c r="E111" s="23"/>
      <c r="F111" s="177">
        <f t="shared" si="60"/>
        <v>70000000</v>
      </c>
      <c r="G111" s="177">
        <f>SUM(G113:G114)</f>
        <v>0</v>
      </c>
      <c r="H111" s="177">
        <f>SUM(H113:H114)</f>
        <v>40000000</v>
      </c>
      <c r="I111" s="177">
        <f t="shared" ref="I111:L111" si="61">SUM(I113:I114)</f>
        <v>20000000</v>
      </c>
      <c r="J111" s="177">
        <f t="shared" si="61"/>
        <v>0</v>
      </c>
      <c r="K111" s="177">
        <f t="shared" si="61"/>
        <v>0</v>
      </c>
      <c r="L111" s="177">
        <f t="shared" si="61"/>
        <v>0</v>
      </c>
      <c r="M111" s="177">
        <f t="shared" ref="M111:R111" si="62">SUM(M113:M114)</f>
        <v>0</v>
      </c>
      <c r="N111" s="177">
        <f t="shared" si="62"/>
        <v>0</v>
      </c>
      <c r="O111" s="177">
        <f t="shared" si="62"/>
        <v>0</v>
      </c>
      <c r="P111" s="177">
        <f t="shared" si="62"/>
        <v>0</v>
      </c>
      <c r="Q111" s="177">
        <f t="shared" si="62"/>
        <v>0</v>
      </c>
      <c r="R111" s="177">
        <f t="shared" si="62"/>
        <v>0</v>
      </c>
      <c r="S111" s="177">
        <f t="shared" ref="S111:W111" si="63">SUM(S113:S114)</f>
        <v>0</v>
      </c>
      <c r="T111" s="177">
        <f t="shared" si="63"/>
        <v>0</v>
      </c>
      <c r="U111" s="177">
        <f t="shared" si="63"/>
        <v>0</v>
      </c>
      <c r="V111" s="177">
        <f t="shared" si="63"/>
        <v>0</v>
      </c>
      <c r="W111" s="177">
        <f t="shared" si="63"/>
        <v>0</v>
      </c>
      <c r="X111" s="177">
        <f t="shared" ref="X111:BB111" si="64">SUM(X113:X114)</f>
        <v>0</v>
      </c>
      <c r="Y111" s="177">
        <f t="shared" si="64"/>
        <v>0</v>
      </c>
      <c r="Z111" s="177">
        <f t="shared" si="64"/>
        <v>0</v>
      </c>
      <c r="AA111" s="177">
        <f t="shared" si="64"/>
        <v>0</v>
      </c>
      <c r="AB111" s="177">
        <f t="shared" si="64"/>
        <v>0</v>
      </c>
      <c r="AC111" s="177">
        <f t="shared" si="64"/>
        <v>0</v>
      </c>
      <c r="AD111" s="177">
        <f t="shared" si="64"/>
        <v>0</v>
      </c>
      <c r="AE111" s="177">
        <f t="shared" si="64"/>
        <v>0</v>
      </c>
      <c r="AF111" s="177">
        <f t="shared" si="64"/>
        <v>0</v>
      </c>
      <c r="AG111" s="177">
        <f t="shared" si="64"/>
        <v>0</v>
      </c>
      <c r="AH111" s="177">
        <f t="shared" si="64"/>
        <v>0</v>
      </c>
      <c r="AI111" s="177">
        <f t="shared" si="64"/>
        <v>0</v>
      </c>
      <c r="AJ111" s="177">
        <f t="shared" si="64"/>
        <v>0</v>
      </c>
      <c r="AK111" s="177">
        <f t="shared" si="64"/>
        <v>0</v>
      </c>
      <c r="AL111" s="177">
        <f t="shared" si="64"/>
        <v>0</v>
      </c>
      <c r="AM111" s="177">
        <f t="shared" si="64"/>
        <v>0</v>
      </c>
      <c r="AN111" s="177">
        <f t="shared" si="64"/>
        <v>0</v>
      </c>
      <c r="AO111" s="177">
        <f t="shared" si="64"/>
        <v>10000000</v>
      </c>
      <c r="AP111" s="177">
        <f t="shared" si="64"/>
        <v>0</v>
      </c>
      <c r="AQ111" s="177">
        <f t="shared" si="64"/>
        <v>0</v>
      </c>
      <c r="AR111" s="177">
        <f t="shared" si="64"/>
        <v>0</v>
      </c>
      <c r="AS111" s="177">
        <f t="shared" si="64"/>
        <v>0</v>
      </c>
      <c r="AT111" s="177">
        <f t="shared" si="64"/>
        <v>0</v>
      </c>
      <c r="AU111" s="177">
        <f t="shared" si="64"/>
        <v>0</v>
      </c>
      <c r="AV111" s="177">
        <f t="shared" si="64"/>
        <v>0</v>
      </c>
      <c r="AW111" s="177">
        <f t="shared" si="64"/>
        <v>0</v>
      </c>
      <c r="AX111" s="177">
        <f t="shared" si="64"/>
        <v>0</v>
      </c>
      <c r="AY111" s="177">
        <f t="shared" si="64"/>
        <v>0</v>
      </c>
      <c r="AZ111" s="177">
        <f t="shared" si="64"/>
        <v>0</v>
      </c>
      <c r="BA111" s="177">
        <f t="shared" si="64"/>
        <v>0</v>
      </c>
      <c r="BB111" s="190">
        <f t="shared" si="64"/>
        <v>0</v>
      </c>
      <c r="BC111" s="189"/>
      <c r="BD111" s="189"/>
      <c r="BE111" s="189"/>
      <c r="BF111" s="189"/>
      <c r="BG111" s="189"/>
      <c r="BH111" s="189"/>
      <c r="BI111" s="189"/>
      <c r="BJ111" s="189"/>
      <c r="BK111" s="189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</row>
    <row r="112" spans="1:75" s="212" customFormat="1" ht="25.5" x14ac:dyDescent="0.25">
      <c r="A112" s="24" t="s">
        <v>57</v>
      </c>
      <c r="B112" s="25" t="s">
        <v>58</v>
      </c>
      <c r="C112" s="25" t="s">
        <v>59</v>
      </c>
      <c r="D112" s="25" t="s">
        <v>60</v>
      </c>
      <c r="E112" s="25" t="s">
        <v>61</v>
      </c>
      <c r="F112" s="26" t="s">
        <v>62</v>
      </c>
      <c r="G112" s="191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  <c r="AB112" s="180"/>
      <c r="AC112" s="180"/>
      <c r="AD112" s="180"/>
      <c r="AE112" s="180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0"/>
      <c r="AZ112" s="180"/>
      <c r="BA112" s="180"/>
      <c r="BB112" s="211"/>
      <c r="BC112" s="189"/>
      <c r="BD112" s="189"/>
      <c r="BE112" s="189"/>
      <c r="BF112" s="189"/>
      <c r="BG112" s="189"/>
      <c r="BH112" s="189"/>
      <c r="BI112" s="189"/>
      <c r="BJ112" s="189"/>
      <c r="BK112" s="189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</row>
    <row r="113" spans="1:75" ht="49.5" customHeight="1" x14ac:dyDescent="0.25">
      <c r="A113" s="27" t="s">
        <v>327</v>
      </c>
      <c r="B113" s="317" t="s">
        <v>328</v>
      </c>
      <c r="C113" s="317" t="s">
        <v>65</v>
      </c>
      <c r="D113" s="317" t="s">
        <v>329</v>
      </c>
      <c r="E113" s="30" t="s">
        <v>330</v>
      </c>
      <c r="F113" s="195">
        <f>SUM(H113:BB113)</f>
        <v>0</v>
      </c>
      <c r="G113" s="316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F113" s="179"/>
      <c r="AG113" s="179"/>
      <c r="AH113" s="179"/>
      <c r="AI113" s="179"/>
      <c r="AJ113" s="179"/>
      <c r="AK113" s="179"/>
      <c r="AL113" s="179"/>
      <c r="AM113" s="179"/>
      <c r="AN113" s="179"/>
      <c r="AO113" s="179"/>
      <c r="AP113" s="179"/>
      <c r="AQ113" s="179"/>
      <c r="AR113" s="179"/>
      <c r="AS113" s="179"/>
      <c r="AT113" s="179"/>
      <c r="AU113" s="179"/>
      <c r="AV113" s="179"/>
      <c r="AW113" s="179"/>
      <c r="AX113" s="179"/>
      <c r="AY113" s="179"/>
      <c r="AZ113" s="179"/>
      <c r="BA113" s="179"/>
      <c r="BB113" s="213"/>
    </row>
    <row r="114" spans="1:75" ht="83.25" customHeight="1" x14ac:dyDescent="0.25">
      <c r="A114" s="27" t="s">
        <v>331</v>
      </c>
      <c r="B114" s="12" t="s">
        <v>332</v>
      </c>
      <c r="C114" s="317" t="s">
        <v>65</v>
      </c>
      <c r="D114" s="10" t="s">
        <v>333</v>
      </c>
      <c r="E114" s="318">
        <v>3</v>
      </c>
      <c r="F114" s="195">
        <f>SUM(H114:BB114)</f>
        <v>70000000</v>
      </c>
      <c r="G114" s="340"/>
      <c r="H114" s="179">
        <v>40000000</v>
      </c>
      <c r="I114" s="179">
        <v>20000000</v>
      </c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>
        <v>10000000</v>
      </c>
      <c r="AP114" s="179"/>
      <c r="AQ114" s="179"/>
      <c r="AR114" s="179"/>
      <c r="AS114" s="179"/>
      <c r="AT114" s="179"/>
      <c r="AU114" s="179"/>
      <c r="AV114" s="179"/>
      <c r="AW114" s="179"/>
      <c r="AX114" s="179"/>
      <c r="AY114" s="179"/>
      <c r="AZ114" s="179"/>
      <c r="BA114" s="179"/>
      <c r="BB114" s="213"/>
    </row>
    <row r="115" spans="1:75" s="210" customFormat="1" ht="21" customHeight="1" x14ac:dyDescent="0.25">
      <c r="A115" s="21" t="s">
        <v>334</v>
      </c>
      <c r="B115" s="22" t="s">
        <v>335</v>
      </c>
      <c r="C115" s="34" t="s">
        <v>56</v>
      </c>
      <c r="D115" s="21">
        <v>3299</v>
      </c>
      <c r="E115" s="23"/>
      <c r="F115" s="177">
        <f>SUM(H115:BB115)</f>
        <v>1586553304</v>
      </c>
      <c r="G115" s="177">
        <f t="shared" ref="G115:AL115" si="65">SUM(G117:G121)</f>
        <v>0</v>
      </c>
      <c r="H115" s="177">
        <f t="shared" si="65"/>
        <v>73960827</v>
      </c>
      <c r="I115" s="177">
        <f t="shared" si="65"/>
        <v>0</v>
      </c>
      <c r="J115" s="177">
        <f t="shared" si="65"/>
        <v>0</v>
      </c>
      <c r="K115" s="177">
        <f t="shared" si="65"/>
        <v>0</v>
      </c>
      <c r="L115" s="177">
        <f t="shared" si="65"/>
        <v>0</v>
      </c>
      <c r="M115" s="177">
        <f t="shared" si="65"/>
        <v>0</v>
      </c>
      <c r="N115" s="177">
        <f t="shared" si="65"/>
        <v>0</v>
      </c>
      <c r="O115" s="177">
        <f t="shared" si="65"/>
        <v>160823304</v>
      </c>
      <c r="P115" s="177">
        <f t="shared" si="65"/>
        <v>0</v>
      </c>
      <c r="Q115" s="177">
        <f t="shared" si="65"/>
        <v>0</v>
      </c>
      <c r="R115" s="177">
        <f t="shared" si="65"/>
        <v>0</v>
      </c>
      <c r="S115" s="177">
        <f t="shared" si="65"/>
        <v>500000</v>
      </c>
      <c r="T115" s="177">
        <f t="shared" si="65"/>
        <v>0</v>
      </c>
      <c r="U115" s="177">
        <f t="shared" si="65"/>
        <v>0</v>
      </c>
      <c r="V115" s="177">
        <f t="shared" si="65"/>
        <v>0</v>
      </c>
      <c r="W115" s="177">
        <f t="shared" si="65"/>
        <v>0</v>
      </c>
      <c r="X115" s="177">
        <f t="shared" si="65"/>
        <v>0</v>
      </c>
      <c r="Y115" s="177">
        <f t="shared" si="65"/>
        <v>924642095</v>
      </c>
      <c r="Z115" s="177">
        <f t="shared" si="65"/>
        <v>0</v>
      </c>
      <c r="AA115" s="177">
        <f t="shared" si="65"/>
        <v>0</v>
      </c>
      <c r="AB115" s="177">
        <f t="shared" si="65"/>
        <v>0</v>
      </c>
      <c r="AC115" s="177">
        <f t="shared" si="65"/>
        <v>0</v>
      </c>
      <c r="AD115" s="177">
        <f t="shared" si="65"/>
        <v>0</v>
      </c>
      <c r="AE115" s="177">
        <f t="shared" si="65"/>
        <v>0</v>
      </c>
      <c r="AF115" s="177">
        <f t="shared" si="65"/>
        <v>0</v>
      </c>
      <c r="AG115" s="177">
        <f t="shared" si="65"/>
        <v>0</v>
      </c>
      <c r="AH115" s="177">
        <f t="shared" si="65"/>
        <v>0</v>
      </c>
      <c r="AI115" s="177">
        <f t="shared" si="65"/>
        <v>0</v>
      </c>
      <c r="AJ115" s="177">
        <f t="shared" si="65"/>
        <v>0</v>
      </c>
      <c r="AK115" s="177">
        <f t="shared" si="65"/>
        <v>0</v>
      </c>
      <c r="AL115" s="177">
        <f t="shared" si="65"/>
        <v>0</v>
      </c>
      <c r="AM115" s="177">
        <f t="shared" ref="AM115:BB115" si="66">SUM(AM117:AM121)</f>
        <v>0</v>
      </c>
      <c r="AN115" s="177">
        <f t="shared" si="66"/>
        <v>0</v>
      </c>
      <c r="AO115" s="177">
        <f t="shared" si="66"/>
        <v>426627078</v>
      </c>
      <c r="AP115" s="177">
        <f t="shared" si="66"/>
        <v>0</v>
      </c>
      <c r="AQ115" s="177">
        <f t="shared" si="66"/>
        <v>0</v>
      </c>
      <c r="AR115" s="177">
        <f t="shared" si="66"/>
        <v>0</v>
      </c>
      <c r="AS115" s="177">
        <f t="shared" si="66"/>
        <v>0</v>
      </c>
      <c r="AT115" s="177">
        <f t="shared" si="66"/>
        <v>0</v>
      </c>
      <c r="AU115" s="177">
        <f t="shared" si="66"/>
        <v>0</v>
      </c>
      <c r="AV115" s="177">
        <f t="shared" si="66"/>
        <v>0</v>
      </c>
      <c r="AW115" s="177">
        <f t="shared" si="66"/>
        <v>0</v>
      </c>
      <c r="AX115" s="177">
        <f t="shared" si="66"/>
        <v>0</v>
      </c>
      <c r="AY115" s="177">
        <f t="shared" si="66"/>
        <v>0</v>
      </c>
      <c r="AZ115" s="177">
        <f t="shared" si="66"/>
        <v>0</v>
      </c>
      <c r="BA115" s="177">
        <f t="shared" si="66"/>
        <v>0</v>
      </c>
      <c r="BB115" s="268">
        <f t="shared" si="66"/>
        <v>0</v>
      </c>
      <c r="BC115" s="189"/>
      <c r="BD115" s="189"/>
      <c r="BE115" s="189"/>
      <c r="BF115" s="189"/>
      <c r="BG115" s="189"/>
      <c r="BH115" s="189"/>
      <c r="BI115" s="189"/>
      <c r="BJ115" s="189"/>
      <c r="BK115" s="189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</row>
    <row r="116" spans="1:75" s="212" customFormat="1" ht="25.5" x14ac:dyDescent="0.25">
      <c r="A116" s="24" t="s">
        <v>57</v>
      </c>
      <c r="B116" s="25" t="s">
        <v>58</v>
      </c>
      <c r="C116" s="25" t="s">
        <v>59</v>
      </c>
      <c r="D116" s="25" t="s">
        <v>60</v>
      </c>
      <c r="E116" s="25" t="s">
        <v>61</v>
      </c>
      <c r="F116" s="26" t="s">
        <v>62</v>
      </c>
      <c r="G116" s="191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  <c r="S116" s="180"/>
      <c r="T116" s="180"/>
      <c r="U116" s="180"/>
      <c r="V116" s="180"/>
      <c r="W116" s="180"/>
      <c r="X116" s="180"/>
      <c r="Y116" s="180"/>
      <c r="Z116" s="180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0"/>
      <c r="BB116" s="211"/>
      <c r="BC116" s="189"/>
      <c r="BD116" s="189"/>
      <c r="BE116" s="189"/>
      <c r="BF116" s="189"/>
      <c r="BG116" s="189"/>
      <c r="BH116" s="189"/>
      <c r="BI116" s="189"/>
      <c r="BJ116" s="189"/>
      <c r="BK116" s="189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</row>
    <row r="117" spans="1:75" ht="85.5" customHeight="1" x14ac:dyDescent="0.25">
      <c r="A117" s="27" t="s">
        <v>336</v>
      </c>
      <c r="B117" s="246" t="s">
        <v>337</v>
      </c>
      <c r="C117" s="11" t="s">
        <v>154</v>
      </c>
      <c r="D117" s="12" t="s">
        <v>338</v>
      </c>
      <c r="E117" s="31">
        <v>90</v>
      </c>
      <c r="F117" s="186">
        <f t="shared" ref="F117:F123" si="67">SUM(H117:BB117)</f>
        <v>350000000</v>
      </c>
      <c r="G117" s="198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>
        <v>350000000</v>
      </c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213"/>
    </row>
    <row r="118" spans="1:75" ht="76.5" customHeight="1" x14ac:dyDescent="0.25">
      <c r="A118" s="27" t="s">
        <v>339</v>
      </c>
      <c r="B118" s="12" t="s">
        <v>340</v>
      </c>
      <c r="C118" s="11" t="s">
        <v>154</v>
      </c>
      <c r="D118" s="12" t="s">
        <v>341</v>
      </c>
      <c r="E118" s="278">
        <v>50</v>
      </c>
      <c r="F118" s="186">
        <f t="shared" si="67"/>
        <v>386553304</v>
      </c>
      <c r="G118" s="198"/>
      <c r="H118" s="179"/>
      <c r="I118" s="179"/>
      <c r="J118" s="179"/>
      <c r="K118" s="179"/>
      <c r="L118" s="179"/>
      <c r="M118" s="179"/>
      <c r="N118" s="179"/>
      <c r="O118" s="179">
        <v>160823304</v>
      </c>
      <c r="P118" s="179"/>
      <c r="Q118" s="179"/>
      <c r="R118" s="179"/>
      <c r="S118" s="179"/>
      <c r="T118" s="179"/>
      <c r="U118" s="179"/>
      <c r="V118" s="179"/>
      <c r="W118" s="179"/>
      <c r="X118" s="179"/>
      <c r="Y118" s="179">
        <v>225730000</v>
      </c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213"/>
    </row>
    <row r="119" spans="1:75" ht="39" customHeight="1" x14ac:dyDescent="0.25">
      <c r="A119" s="27" t="s">
        <v>342</v>
      </c>
      <c r="B119" s="12" t="s">
        <v>343</v>
      </c>
      <c r="C119" s="11" t="s">
        <v>154</v>
      </c>
      <c r="D119" s="28" t="s">
        <v>344</v>
      </c>
      <c r="E119" s="31">
        <v>92.5</v>
      </c>
      <c r="F119" s="186">
        <f t="shared" si="67"/>
        <v>50000000</v>
      </c>
      <c r="G119" s="198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>
        <v>50000000</v>
      </c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213"/>
    </row>
    <row r="120" spans="1:75" ht="63" customHeight="1" x14ac:dyDescent="0.25">
      <c r="A120" s="27" t="s">
        <v>345</v>
      </c>
      <c r="B120" s="246" t="s">
        <v>346</v>
      </c>
      <c r="C120" s="11" t="s">
        <v>154</v>
      </c>
      <c r="D120" s="12" t="s">
        <v>347</v>
      </c>
      <c r="E120" s="31">
        <v>34.54</v>
      </c>
      <c r="F120" s="186">
        <f t="shared" si="67"/>
        <v>800000000</v>
      </c>
      <c r="G120" s="198"/>
      <c r="H120" s="179">
        <f>28276877+45683950</f>
        <v>73960827</v>
      </c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>
        <v>500000</v>
      </c>
      <c r="T120" s="179"/>
      <c r="U120" s="179"/>
      <c r="V120" s="179"/>
      <c r="W120" s="179"/>
      <c r="X120" s="179"/>
      <c r="Y120" s="179">
        <f>367985989-69073894</f>
        <v>298912095</v>
      </c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>
        <v>426627078</v>
      </c>
      <c r="AP120" s="179"/>
      <c r="AQ120" s="179"/>
      <c r="AR120" s="179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213"/>
    </row>
    <row r="121" spans="1:75" ht="50.25" customHeight="1" x14ac:dyDescent="0.25">
      <c r="A121" s="27" t="s">
        <v>348</v>
      </c>
      <c r="B121" s="246" t="s">
        <v>404</v>
      </c>
      <c r="C121" s="11" t="s">
        <v>65</v>
      </c>
      <c r="D121" s="12" t="s">
        <v>349</v>
      </c>
      <c r="E121" s="31">
        <v>0</v>
      </c>
      <c r="F121" s="186">
        <f t="shared" si="67"/>
        <v>0</v>
      </c>
      <c r="G121" s="198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213"/>
    </row>
    <row r="122" spans="1:75" s="20" customFormat="1" ht="21" customHeight="1" x14ac:dyDescent="0.25">
      <c r="A122" s="18" t="s">
        <v>350</v>
      </c>
      <c r="B122" s="18" t="s">
        <v>351</v>
      </c>
      <c r="C122" s="356"/>
      <c r="D122" s="356"/>
      <c r="E122" s="19"/>
      <c r="F122" s="176">
        <f t="shared" si="67"/>
        <v>2420817369</v>
      </c>
      <c r="G122" s="176">
        <f t="shared" ref="G122:AL122" si="68">+G123+G130+G135</f>
        <v>0</v>
      </c>
      <c r="H122" s="176">
        <f t="shared" si="68"/>
        <v>1034660000</v>
      </c>
      <c r="I122" s="176">
        <f t="shared" si="68"/>
        <v>171337184</v>
      </c>
      <c r="J122" s="176">
        <f t="shared" si="68"/>
        <v>12985292</v>
      </c>
      <c r="K122" s="176">
        <f t="shared" si="68"/>
        <v>0</v>
      </c>
      <c r="L122" s="176">
        <f t="shared" si="68"/>
        <v>121100000</v>
      </c>
      <c r="M122" s="176">
        <f t="shared" si="68"/>
        <v>0</v>
      </c>
      <c r="N122" s="176">
        <f t="shared" si="68"/>
        <v>50000000</v>
      </c>
      <c r="O122" s="176">
        <f t="shared" si="68"/>
        <v>230000000</v>
      </c>
      <c r="P122" s="176">
        <f t="shared" si="68"/>
        <v>0</v>
      </c>
      <c r="Q122" s="176">
        <f t="shared" si="68"/>
        <v>0</v>
      </c>
      <c r="R122" s="176">
        <f t="shared" si="68"/>
        <v>0</v>
      </c>
      <c r="S122" s="176">
        <f t="shared" si="68"/>
        <v>0</v>
      </c>
      <c r="T122" s="176">
        <f t="shared" si="68"/>
        <v>50000000</v>
      </c>
      <c r="U122" s="176">
        <f t="shared" si="68"/>
        <v>50000000</v>
      </c>
      <c r="V122" s="176">
        <f t="shared" si="68"/>
        <v>0</v>
      </c>
      <c r="W122" s="176">
        <f t="shared" si="68"/>
        <v>0</v>
      </c>
      <c r="X122" s="176">
        <f t="shared" si="68"/>
        <v>63422167</v>
      </c>
      <c r="Y122" s="176">
        <f t="shared" si="68"/>
        <v>69073894</v>
      </c>
      <c r="Z122" s="176">
        <f t="shared" si="68"/>
        <v>236917478</v>
      </c>
      <c r="AA122" s="176">
        <f t="shared" si="68"/>
        <v>0</v>
      </c>
      <c r="AB122" s="176">
        <f t="shared" si="68"/>
        <v>0</v>
      </c>
      <c r="AC122" s="176">
        <f t="shared" si="68"/>
        <v>0</v>
      </c>
      <c r="AD122" s="176">
        <f t="shared" si="68"/>
        <v>195463224</v>
      </c>
      <c r="AE122" s="176">
        <f t="shared" si="68"/>
        <v>0</v>
      </c>
      <c r="AF122" s="176">
        <f t="shared" si="68"/>
        <v>0</v>
      </c>
      <c r="AG122" s="176">
        <f t="shared" si="68"/>
        <v>71630786</v>
      </c>
      <c r="AH122" s="176">
        <f t="shared" si="68"/>
        <v>0</v>
      </c>
      <c r="AI122" s="176">
        <f t="shared" si="68"/>
        <v>0</v>
      </c>
      <c r="AJ122" s="176">
        <f t="shared" si="68"/>
        <v>0</v>
      </c>
      <c r="AK122" s="176">
        <f t="shared" si="68"/>
        <v>0</v>
      </c>
      <c r="AL122" s="176">
        <f t="shared" si="68"/>
        <v>0</v>
      </c>
      <c r="AM122" s="176">
        <f t="shared" ref="AM122:BB122" si="69">+AM123+AM130+AM135</f>
        <v>0</v>
      </c>
      <c r="AN122" s="176">
        <f t="shared" si="69"/>
        <v>0</v>
      </c>
      <c r="AO122" s="176">
        <f t="shared" si="69"/>
        <v>64227344</v>
      </c>
      <c r="AP122" s="176">
        <f t="shared" si="69"/>
        <v>0</v>
      </c>
      <c r="AQ122" s="176">
        <f t="shared" si="69"/>
        <v>0</v>
      </c>
      <c r="AR122" s="176">
        <f t="shared" si="69"/>
        <v>0</v>
      </c>
      <c r="AS122" s="176">
        <f t="shared" si="69"/>
        <v>0</v>
      </c>
      <c r="AT122" s="176">
        <f t="shared" si="69"/>
        <v>0</v>
      </c>
      <c r="AU122" s="176">
        <f t="shared" si="69"/>
        <v>0</v>
      </c>
      <c r="AV122" s="176">
        <f t="shared" si="69"/>
        <v>0</v>
      </c>
      <c r="AW122" s="176">
        <f t="shared" si="69"/>
        <v>0</v>
      </c>
      <c r="AX122" s="176">
        <f t="shared" si="69"/>
        <v>0</v>
      </c>
      <c r="AY122" s="176">
        <f t="shared" si="69"/>
        <v>0</v>
      </c>
      <c r="AZ122" s="176">
        <f t="shared" si="69"/>
        <v>0</v>
      </c>
      <c r="BA122" s="176">
        <f t="shared" si="69"/>
        <v>0</v>
      </c>
      <c r="BB122" s="188">
        <f t="shared" si="69"/>
        <v>0</v>
      </c>
      <c r="BC122" s="189"/>
      <c r="BD122" s="189"/>
      <c r="BE122" s="189"/>
      <c r="BF122" s="189"/>
      <c r="BG122" s="189"/>
      <c r="BH122" s="189"/>
      <c r="BI122" s="189"/>
      <c r="BJ122" s="189"/>
      <c r="BK122" s="189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</row>
    <row r="123" spans="1:75" s="210" customFormat="1" ht="27" customHeight="1" x14ac:dyDescent="0.25">
      <c r="A123" s="21" t="s">
        <v>352</v>
      </c>
      <c r="B123" s="22" t="s">
        <v>353</v>
      </c>
      <c r="C123" s="34" t="s">
        <v>56</v>
      </c>
      <c r="D123" s="21">
        <v>3208</v>
      </c>
      <c r="E123" s="23"/>
      <c r="F123" s="177">
        <f t="shared" si="67"/>
        <v>937645292</v>
      </c>
      <c r="G123" s="177">
        <f t="shared" ref="G123:AL123" si="70">SUM(G125:G129)</f>
        <v>0</v>
      </c>
      <c r="H123" s="177">
        <f t="shared" si="70"/>
        <v>604660000</v>
      </c>
      <c r="I123" s="177">
        <f t="shared" si="70"/>
        <v>50000000</v>
      </c>
      <c r="J123" s="177">
        <f t="shared" si="70"/>
        <v>12985292</v>
      </c>
      <c r="K123" s="177">
        <f t="shared" si="70"/>
        <v>0</v>
      </c>
      <c r="L123" s="177">
        <f t="shared" si="70"/>
        <v>50000000</v>
      </c>
      <c r="M123" s="177">
        <f t="shared" si="70"/>
        <v>0</v>
      </c>
      <c r="N123" s="177">
        <f t="shared" si="70"/>
        <v>0</v>
      </c>
      <c r="O123" s="177">
        <f t="shared" si="70"/>
        <v>0</v>
      </c>
      <c r="P123" s="177">
        <f t="shared" si="70"/>
        <v>0</v>
      </c>
      <c r="Q123" s="177">
        <f t="shared" si="70"/>
        <v>0</v>
      </c>
      <c r="R123" s="177">
        <f t="shared" si="70"/>
        <v>0</v>
      </c>
      <c r="S123" s="177">
        <f t="shared" si="70"/>
        <v>0</v>
      </c>
      <c r="T123" s="177">
        <f t="shared" si="70"/>
        <v>0</v>
      </c>
      <c r="U123" s="177">
        <f t="shared" si="70"/>
        <v>0</v>
      </c>
      <c r="V123" s="177">
        <f t="shared" si="70"/>
        <v>0</v>
      </c>
      <c r="W123" s="177">
        <f t="shared" si="70"/>
        <v>0</v>
      </c>
      <c r="X123" s="177">
        <f t="shared" si="70"/>
        <v>0</v>
      </c>
      <c r="Y123" s="177">
        <f t="shared" si="70"/>
        <v>0</v>
      </c>
      <c r="Z123" s="177">
        <f t="shared" si="70"/>
        <v>150000000</v>
      </c>
      <c r="AA123" s="177">
        <f t="shared" si="70"/>
        <v>0</v>
      </c>
      <c r="AB123" s="177">
        <f t="shared" si="70"/>
        <v>0</v>
      </c>
      <c r="AC123" s="177">
        <f t="shared" si="70"/>
        <v>0</v>
      </c>
      <c r="AD123" s="177">
        <f t="shared" si="70"/>
        <v>0</v>
      </c>
      <c r="AE123" s="177">
        <f t="shared" si="70"/>
        <v>0</v>
      </c>
      <c r="AF123" s="177">
        <f t="shared" si="70"/>
        <v>0</v>
      </c>
      <c r="AG123" s="177">
        <f t="shared" si="70"/>
        <v>50000000</v>
      </c>
      <c r="AH123" s="177">
        <f t="shared" si="70"/>
        <v>0</v>
      </c>
      <c r="AI123" s="177">
        <f t="shared" si="70"/>
        <v>0</v>
      </c>
      <c r="AJ123" s="177">
        <f t="shared" si="70"/>
        <v>0</v>
      </c>
      <c r="AK123" s="177">
        <f t="shared" si="70"/>
        <v>0</v>
      </c>
      <c r="AL123" s="177">
        <f t="shared" si="70"/>
        <v>0</v>
      </c>
      <c r="AM123" s="177">
        <f t="shared" ref="AM123:BB123" si="71">SUM(AM125:AM129)</f>
        <v>0</v>
      </c>
      <c r="AN123" s="177">
        <f t="shared" si="71"/>
        <v>0</v>
      </c>
      <c r="AO123" s="177">
        <f t="shared" si="71"/>
        <v>20000000</v>
      </c>
      <c r="AP123" s="177">
        <f t="shared" si="71"/>
        <v>0</v>
      </c>
      <c r="AQ123" s="177">
        <f t="shared" si="71"/>
        <v>0</v>
      </c>
      <c r="AR123" s="177">
        <f t="shared" si="71"/>
        <v>0</v>
      </c>
      <c r="AS123" s="177">
        <f t="shared" si="71"/>
        <v>0</v>
      </c>
      <c r="AT123" s="177">
        <f t="shared" si="71"/>
        <v>0</v>
      </c>
      <c r="AU123" s="177">
        <f t="shared" si="71"/>
        <v>0</v>
      </c>
      <c r="AV123" s="177">
        <f t="shared" si="71"/>
        <v>0</v>
      </c>
      <c r="AW123" s="177">
        <f t="shared" si="71"/>
        <v>0</v>
      </c>
      <c r="AX123" s="177">
        <f t="shared" si="71"/>
        <v>0</v>
      </c>
      <c r="AY123" s="177">
        <f t="shared" si="71"/>
        <v>0</v>
      </c>
      <c r="AZ123" s="177">
        <f t="shared" si="71"/>
        <v>0</v>
      </c>
      <c r="BA123" s="177">
        <f t="shared" si="71"/>
        <v>0</v>
      </c>
      <c r="BB123" s="190">
        <f t="shared" si="71"/>
        <v>0</v>
      </c>
      <c r="BC123" s="189"/>
      <c r="BD123" s="189"/>
      <c r="BE123" s="189"/>
      <c r="BF123" s="189"/>
      <c r="BG123" s="189"/>
      <c r="BH123" s="189"/>
      <c r="BI123" s="189"/>
      <c r="BJ123" s="189"/>
      <c r="BK123" s="189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</row>
    <row r="124" spans="1:75" s="212" customFormat="1" ht="35.25" customHeight="1" x14ac:dyDescent="0.25">
      <c r="A124" s="24" t="s">
        <v>57</v>
      </c>
      <c r="B124" s="25" t="s">
        <v>58</v>
      </c>
      <c r="C124" s="25" t="s">
        <v>59</v>
      </c>
      <c r="D124" s="25" t="s">
        <v>60</v>
      </c>
      <c r="E124" s="25" t="s">
        <v>61</v>
      </c>
      <c r="F124" s="26" t="s">
        <v>62</v>
      </c>
      <c r="G124" s="191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  <c r="S124" s="180"/>
      <c r="T124" s="180"/>
      <c r="U124" s="180"/>
      <c r="V124" s="180"/>
      <c r="W124" s="180"/>
      <c r="X124" s="180"/>
      <c r="Y124" s="180"/>
      <c r="Z124" s="180"/>
      <c r="AA124" s="180"/>
      <c r="AB124" s="180"/>
      <c r="AC124" s="180"/>
      <c r="AD124" s="180"/>
      <c r="AE124" s="180"/>
      <c r="AF124" s="180"/>
      <c r="AG124" s="180"/>
      <c r="AH124" s="180"/>
      <c r="AI124" s="180"/>
      <c r="AJ124" s="180"/>
      <c r="AK124" s="180"/>
      <c r="AL124" s="180"/>
      <c r="AM124" s="180"/>
      <c r="AN124" s="180"/>
      <c r="AO124" s="180"/>
      <c r="AP124" s="180"/>
      <c r="AQ124" s="180"/>
      <c r="AR124" s="180"/>
      <c r="AS124" s="180"/>
      <c r="AT124" s="180"/>
      <c r="AU124" s="180"/>
      <c r="AV124" s="180"/>
      <c r="AW124" s="180"/>
      <c r="AX124" s="180"/>
      <c r="AY124" s="180"/>
      <c r="AZ124" s="180"/>
      <c r="BA124" s="180"/>
      <c r="BB124" s="211"/>
      <c r="BC124" s="189"/>
      <c r="BD124" s="189"/>
      <c r="BE124" s="189"/>
      <c r="BF124" s="189"/>
      <c r="BG124" s="189"/>
      <c r="BH124" s="189"/>
      <c r="BI124" s="189"/>
      <c r="BJ124" s="189"/>
      <c r="BK124" s="189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</row>
    <row r="125" spans="1:75" ht="77.25" customHeight="1" x14ac:dyDescent="0.25">
      <c r="A125" s="27" t="s">
        <v>354</v>
      </c>
      <c r="B125" s="12" t="s">
        <v>355</v>
      </c>
      <c r="C125" s="325" t="s">
        <v>65</v>
      </c>
      <c r="D125" s="12" t="s">
        <v>356</v>
      </c>
      <c r="E125" s="311">
        <v>2</v>
      </c>
      <c r="F125" s="195">
        <f t="shared" ref="F125:F130" si="72">SUM(H125:BB125)</f>
        <v>150000000</v>
      </c>
      <c r="G125" s="192"/>
      <c r="H125" s="179">
        <v>150000000</v>
      </c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  <c r="AA125" s="179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  <c r="AM125" s="179"/>
      <c r="AN125" s="179"/>
      <c r="AO125" s="179"/>
      <c r="AP125" s="179"/>
      <c r="AQ125" s="179"/>
      <c r="AR125" s="179"/>
      <c r="AS125" s="179"/>
      <c r="AT125" s="179"/>
      <c r="AU125" s="179"/>
      <c r="AV125" s="179"/>
      <c r="AW125" s="179"/>
      <c r="AX125" s="179"/>
      <c r="AY125" s="179"/>
      <c r="AZ125" s="179"/>
      <c r="BA125" s="179"/>
      <c r="BB125" s="213"/>
    </row>
    <row r="126" spans="1:75" ht="72.75" customHeight="1" x14ac:dyDescent="0.25">
      <c r="A126" s="27" t="s">
        <v>357</v>
      </c>
      <c r="B126" s="12" t="s">
        <v>358</v>
      </c>
      <c r="C126" s="325" t="s">
        <v>65</v>
      </c>
      <c r="D126" s="341" t="s">
        <v>356</v>
      </c>
      <c r="E126" s="311">
        <v>2</v>
      </c>
      <c r="F126" s="195">
        <f t="shared" si="72"/>
        <v>220000000</v>
      </c>
      <c r="G126" s="192"/>
      <c r="H126" s="179">
        <v>220000000</v>
      </c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  <c r="AM126" s="179"/>
      <c r="AN126" s="179"/>
      <c r="AO126" s="179"/>
      <c r="AP126" s="179"/>
      <c r="AQ126" s="179"/>
      <c r="AR126" s="179"/>
      <c r="AS126" s="179"/>
      <c r="AT126" s="179"/>
      <c r="AU126" s="179"/>
      <c r="AV126" s="179"/>
      <c r="AW126" s="179"/>
      <c r="AX126" s="179"/>
      <c r="AY126" s="179"/>
      <c r="AZ126" s="179"/>
      <c r="BA126" s="179"/>
      <c r="BB126" s="213"/>
    </row>
    <row r="127" spans="1:75" ht="56.25" customHeight="1" x14ac:dyDescent="0.25">
      <c r="A127" s="27" t="s">
        <v>359</v>
      </c>
      <c r="B127" s="12" t="s">
        <v>360</v>
      </c>
      <c r="C127" s="325" t="s">
        <v>65</v>
      </c>
      <c r="D127" s="341" t="s">
        <v>356</v>
      </c>
      <c r="E127" s="311">
        <v>1</v>
      </c>
      <c r="F127" s="195">
        <f t="shared" si="72"/>
        <v>60000000</v>
      </c>
      <c r="G127" s="192"/>
      <c r="H127" s="179">
        <v>60000000</v>
      </c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  <c r="AM127" s="179"/>
      <c r="AN127" s="179"/>
      <c r="AO127" s="179"/>
      <c r="AP127" s="179"/>
      <c r="AQ127" s="179"/>
      <c r="AR127" s="179"/>
      <c r="AS127" s="179"/>
      <c r="AT127" s="179"/>
      <c r="AU127" s="179"/>
      <c r="AV127" s="179"/>
      <c r="AW127" s="179"/>
      <c r="AX127" s="179"/>
      <c r="AY127" s="179"/>
      <c r="AZ127" s="179"/>
      <c r="BA127" s="179"/>
      <c r="BB127" s="213"/>
    </row>
    <row r="128" spans="1:75" ht="64.5" customHeight="1" x14ac:dyDescent="0.25">
      <c r="A128" s="342" t="s">
        <v>361</v>
      </c>
      <c r="B128" s="12" t="s">
        <v>362</v>
      </c>
      <c r="C128" s="325" t="s">
        <v>154</v>
      </c>
      <c r="D128" s="341" t="s">
        <v>363</v>
      </c>
      <c r="E128" s="311">
        <v>10</v>
      </c>
      <c r="F128" s="195">
        <f t="shared" si="72"/>
        <v>507645292</v>
      </c>
      <c r="G128" s="192"/>
      <c r="H128" s="179">
        <v>174660000</v>
      </c>
      <c r="I128" s="189">
        <v>50000000</v>
      </c>
      <c r="J128" s="179">
        <v>12985292</v>
      </c>
      <c r="K128" s="179"/>
      <c r="L128" s="179">
        <v>50000000</v>
      </c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>
        <v>150000000</v>
      </c>
      <c r="AB128" s="179"/>
      <c r="AC128" s="179"/>
      <c r="AD128" s="179"/>
      <c r="AE128" s="179"/>
      <c r="AF128" s="179"/>
      <c r="AG128" s="179">
        <v>50000000</v>
      </c>
      <c r="AH128" s="179"/>
      <c r="AI128" s="179"/>
      <c r="AJ128" s="179"/>
      <c r="AK128" s="179"/>
      <c r="AL128" s="179"/>
      <c r="AM128" s="179"/>
      <c r="AN128" s="179"/>
      <c r="AO128" s="179">
        <v>20000000</v>
      </c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213"/>
    </row>
    <row r="129" spans="1:75" ht="42" customHeight="1" x14ac:dyDescent="0.25">
      <c r="A129" s="27" t="s">
        <v>364</v>
      </c>
      <c r="B129" s="317" t="s">
        <v>365</v>
      </c>
      <c r="C129" s="27" t="s">
        <v>65</v>
      </c>
      <c r="D129" s="12" t="s">
        <v>366</v>
      </c>
      <c r="E129" s="30">
        <v>0</v>
      </c>
      <c r="F129" s="195">
        <f t="shared" si="72"/>
        <v>0</v>
      </c>
      <c r="G129" s="336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  <c r="AF129" s="179"/>
      <c r="AG129" s="179"/>
      <c r="AH129" s="179"/>
      <c r="AI129" s="179"/>
      <c r="AJ129" s="179"/>
      <c r="AK129" s="179"/>
      <c r="AL129" s="179"/>
      <c r="AM129" s="179"/>
      <c r="AN129" s="179"/>
      <c r="AO129" s="179"/>
      <c r="AP129" s="179"/>
      <c r="AQ129" s="179"/>
      <c r="AR129" s="179"/>
      <c r="AS129" s="179"/>
      <c r="AT129" s="179"/>
      <c r="AU129" s="179"/>
      <c r="AV129" s="179"/>
      <c r="AW129" s="179"/>
      <c r="AX129" s="179"/>
      <c r="AY129" s="179"/>
      <c r="AZ129" s="179"/>
      <c r="BA129" s="179"/>
      <c r="BB129" s="213"/>
    </row>
    <row r="130" spans="1:75" s="210" customFormat="1" ht="38.25" customHeight="1" x14ac:dyDescent="0.25">
      <c r="A130" s="21" t="s">
        <v>367</v>
      </c>
      <c r="B130" s="22" t="s">
        <v>368</v>
      </c>
      <c r="C130" s="34" t="s">
        <v>56</v>
      </c>
      <c r="D130" s="21">
        <v>3208</v>
      </c>
      <c r="E130" s="23"/>
      <c r="F130" s="177">
        <f t="shared" si="72"/>
        <v>602176565</v>
      </c>
      <c r="G130" s="177">
        <f>SUM(G132:G134)</f>
        <v>0</v>
      </c>
      <c r="H130" s="177">
        <f>SUM(H132:H134)</f>
        <v>300000000</v>
      </c>
      <c r="I130" s="177">
        <f t="shared" ref="I130:L130" si="73">SUM(I132:I134)</f>
        <v>121337184</v>
      </c>
      <c r="J130" s="177">
        <f t="shared" si="73"/>
        <v>0</v>
      </c>
      <c r="K130" s="177">
        <f t="shared" si="73"/>
        <v>0</v>
      </c>
      <c r="L130" s="177">
        <f t="shared" si="73"/>
        <v>50000000</v>
      </c>
      <c r="M130" s="177">
        <f t="shared" ref="M130:BB130" si="74">SUM(M132:M134)</f>
        <v>0</v>
      </c>
      <c r="N130" s="177">
        <f t="shared" si="74"/>
        <v>0</v>
      </c>
      <c r="O130" s="177">
        <f t="shared" si="74"/>
        <v>0</v>
      </c>
      <c r="P130" s="177">
        <f t="shared" si="74"/>
        <v>0</v>
      </c>
      <c r="Q130" s="177">
        <f t="shared" si="74"/>
        <v>0</v>
      </c>
      <c r="R130" s="177">
        <f t="shared" si="74"/>
        <v>0</v>
      </c>
      <c r="S130" s="177">
        <f t="shared" si="74"/>
        <v>0</v>
      </c>
      <c r="T130" s="177">
        <f t="shared" si="74"/>
        <v>0</v>
      </c>
      <c r="U130" s="177">
        <f t="shared" si="74"/>
        <v>0</v>
      </c>
      <c r="V130" s="177">
        <f t="shared" si="74"/>
        <v>0</v>
      </c>
      <c r="W130" s="177">
        <f t="shared" si="74"/>
        <v>0</v>
      </c>
      <c r="X130" s="177">
        <f t="shared" si="74"/>
        <v>0</v>
      </c>
      <c r="Y130" s="177">
        <f t="shared" si="74"/>
        <v>0</v>
      </c>
      <c r="Z130" s="177">
        <f t="shared" si="74"/>
        <v>48418027</v>
      </c>
      <c r="AA130" s="177">
        <f t="shared" si="74"/>
        <v>0</v>
      </c>
      <c r="AB130" s="177">
        <f t="shared" si="74"/>
        <v>0</v>
      </c>
      <c r="AC130" s="177">
        <f t="shared" si="74"/>
        <v>0</v>
      </c>
      <c r="AD130" s="177">
        <f t="shared" si="74"/>
        <v>16563224</v>
      </c>
      <c r="AE130" s="177">
        <f t="shared" si="74"/>
        <v>0</v>
      </c>
      <c r="AF130" s="177">
        <f t="shared" si="74"/>
        <v>0</v>
      </c>
      <c r="AG130" s="177">
        <f t="shared" si="74"/>
        <v>21630786</v>
      </c>
      <c r="AH130" s="177">
        <f t="shared" si="74"/>
        <v>0</v>
      </c>
      <c r="AI130" s="177">
        <f t="shared" si="74"/>
        <v>0</v>
      </c>
      <c r="AJ130" s="177">
        <f t="shared" si="74"/>
        <v>0</v>
      </c>
      <c r="AK130" s="177">
        <f t="shared" si="74"/>
        <v>0</v>
      </c>
      <c r="AL130" s="177">
        <f t="shared" si="74"/>
        <v>0</v>
      </c>
      <c r="AM130" s="177">
        <f t="shared" si="74"/>
        <v>0</v>
      </c>
      <c r="AN130" s="177">
        <f t="shared" si="74"/>
        <v>0</v>
      </c>
      <c r="AO130" s="177">
        <f t="shared" si="74"/>
        <v>44227344</v>
      </c>
      <c r="AP130" s="177">
        <f t="shared" si="74"/>
        <v>0</v>
      </c>
      <c r="AQ130" s="177">
        <f t="shared" si="74"/>
        <v>0</v>
      </c>
      <c r="AR130" s="177">
        <f t="shared" si="74"/>
        <v>0</v>
      </c>
      <c r="AS130" s="177">
        <f t="shared" si="74"/>
        <v>0</v>
      </c>
      <c r="AT130" s="177">
        <f t="shared" si="74"/>
        <v>0</v>
      </c>
      <c r="AU130" s="177">
        <f t="shared" si="74"/>
        <v>0</v>
      </c>
      <c r="AV130" s="177">
        <f t="shared" si="74"/>
        <v>0</v>
      </c>
      <c r="AW130" s="177">
        <f t="shared" si="74"/>
        <v>0</v>
      </c>
      <c r="AX130" s="177">
        <f t="shared" si="74"/>
        <v>0</v>
      </c>
      <c r="AY130" s="177">
        <f t="shared" si="74"/>
        <v>0</v>
      </c>
      <c r="AZ130" s="177">
        <f t="shared" si="74"/>
        <v>0</v>
      </c>
      <c r="BA130" s="177">
        <f t="shared" si="74"/>
        <v>0</v>
      </c>
      <c r="BB130" s="190">
        <f t="shared" si="74"/>
        <v>0</v>
      </c>
      <c r="BC130" s="189"/>
      <c r="BD130" s="189"/>
      <c r="BE130" s="189"/>
      <c r="BF130" s="189"/>
      <c r="BG130" s="189"/>
      <c r="BH130" s="189"/>
      <c r="BI130" s="189"/>
      <c r="BJ130" s="189"/>
      <c r="BK130" s="189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</row>
    <row r="131" spans="1:75" s="212" customFormat="1" ht="34.5" customHeight="1" x14ac:dyDescent="0.25">
      <c r="A131" s="24" t="s">
        <v>57</v>
      </c>
      <c r="B131" s="25" t="s">
        <v>58</v>
      </c>
      <c r="C131" s="25" t="s">
        <v>59</v>
      </c>
      <c r="D131" s="25" t="s">
        <v>60</v>
      </c>
      <c r="E131" s="25" t="s">
        <v>61</v>
      </c>
      <c r="F131" s="26" t="s">
        <v>62</v>
      </c>
      <c r="G131" s="191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  <c r="S131" s="180"/>
      <c r="T131" s="180"/>
      <c r="U131" s="180"/>
      <c r="V131" s="180"/>
      <c r="W131" s="180"/>
      <c r="X131" s="180"/>
      <c r="Y131" s="180"/>
      <c r="Z131" s="180"/>
      <c r="AA131" s="180"/>
      <c r="AB131" s="180"/>
      <c r="AC131" s="180"/>
      <c r="AD131" s="180"/>
      <c r="AE131" s="180"/>
      <c r="AF131" s="180"/>
      <c r="AG131" s="180"/>
      <c r="AH131" s="180"/>
      <c r="AI131" s="180"/>
      <c r="AJ131" s="180"/>
      <c r="AK131" s="180"/>
      <c r="AL131" s="180"/>
      <c r="AM131" s="180"/>
      <c r="AN131" s="180"/>
      <c r="AO131" s="180"/>
      <c r="AP131" s="180"/>
      <c r="AQ131" s="180"/>
      <c r="AR131" s="180"/>
      <c r="AS131" s="180"/>
      <c r="AT131" s="180"/>
      <c r="AU131" s="180"/>
      <c r="AV131" s="180"/>
      <c r="AW131" s="180"/>
      <c r="AX131" s="180"/>
      <c r="AY131" s="180"/>
      <c r="AZ131" s="180"/>
      <c r="BA131" s="180"/>
      <c r="BB131" s="211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</row>
    <row r="132" spans="1:75" ht="101.25" customHeight="1" x14ac:dyDescent="0.25">
      <c r="A132" s="27" t="s">
        <v>369</v>
      </c>
      <c r="B132" s="317" t="s">
        <v>370</v>
      </c>
      <c r="C132" s="317" t="s">
        <v>65</v>
      </c>
      <c r="D132" s="317" t="s">
        <v>371</v>
      </c>
      <c r="E132" s="31">
        <v>5</v>
      </c>
      <c r="F132" s="195">
        <f>SUM(H132:BB132)</f>
        <v>502176565</v>
      </c>
      <c r="G132" s="331"/>
      <c r="H132" s="179">
        <v>200000000</v>
      </c>
      <c r="I132" s="179">
        <f>21337184+100000000</f>
        <v>121337184</v>
      </c>
      <c r="J132" s="179"/>
      <c r="K132" s="179"/>
      <c r="L132" s="179">
        <v>50000000</v>
      </c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>
        <v>48418027</v>
      </c>
      <c r="AA132" s="179"/>
      <c r="AB132" s="179"/>
      <c r="AC132" s="179"/>
      <c r="AD132" s="179">
        <v>16563224</v>
      </c>
      <c r="AE132" s="179"/>
      <c r="AF132" s="179"/>
      <c r="AG132" s="179">
        <v>21630786</v>
      </c>
      <c r="AH132" s="179"/>
      <c r="AI132" s="179"/>
      <c r="AJ132" s="179"/>
      <c r="AK132" s="179"/>
      <c r="AL132" s="179"/>
      <c r="AM132" s="179"/>
      <c r="AN132" s="179"/>
      <c r="AO132" s="179">
        <v>44227344</v>
      </c>
      <c r="AP132" s="179"/>
      <c r="AQ132" s="179"/>
      <c r="AR132" s="179"/>
      <c r="AS132" s="179"/>
      <c r="AT132" s="179"/>
      <c r="AU132" s="179"/>
      <c r="AV132" s="179"/>
      <c r="AW132" s="179"/>
      <c r="AX132" s="179"/>
      <c r="AY132" s="179"/>
      <c r="AZ132" s="179"/>
      <c r="BA132" s="179"/>
      <c r="BB132" s="213"/>
    </row>
    <row r="133" spans="1:75" ht="64.5" customHeight="1" x14ac:dyDescent="0.25">
      <c r="A133" s="27" t="s">
        <v>372</v>
      </c>
      <c r="B133" s="317" t="s">
        <v>373</v>
      </c>
      <c r="C133" s="317" t="s">
        <v>65</v>
      </c>
      <c r="D133" s="317" t="s">
        <v>374</v>
      </c>
      <c r="E133" s="31">
        <v>1</v>
      </c>
      <c r="F133" s="195">
        <f>SUM(H133:BB133)</f>
        <v>40000000</v>
      </c>
      <c r="G133" s="331"/>
      <c r="H133" s="179">
        <v>40000000</v>
      </c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79"/>
      <c r="AT133" s="179"/>
      <c r="AU133" s="179"/>
      <c r="AV133" s="179"/>
      <c r="AW133" s="179"/>
      <c r="AX133" s="179"/>
      <c r="AY133" s="179"/>
      <c r="AZ133" s="179"/>
      <c r="BA133" s="179"/>
      <c r="BB133" s="213"/>
    </row>
    <row r="134" spans="1:75" ht="63" customHeight="1" x14ac:dyDescent="0.25">
      <c r="A134" s="27" t="s">
        <v>375</v>
      </c>
      <c r="B134" s="317" t="s">
        <v>376</v>
      </c>
      <c r="C134" s="317" t="s">
        <v>65</v>
      </c>
      <c r="D134" s="317" t="s">
        <v>377</v>
      </c>
      <c r="E134" s="31">
        <v>1</v>
      </c>
      <c r="F134" s="195">
        <f>SUM(H134:BB134)</f>
        <v>60000000</v>
      </c>
      <c r="G134" s="331"/>
      <c r="H134" s="179">
        <v>60000000</v>
      </c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79"/>
      <c r="AT134" s="179"/>
      <c r="AU134" s="179"/>
      <c r="AV134" s="179"/>
      <c r="AW134" s="179"/>
      <c r="AX134" s="179"/>
      <c r="AY134" s="179"/>
      <c r="AZ134" s="179"/>
      <c r="BA134" s="179"/>
      <c r="BB134" s="213"/>
    </row>
    <row r="135" spans="1:75" s="210" customFormat="1" ht="36" customHeight="1" x14ac:dyDescent="0.25">
      <c r="A135" s="21" t="s">
        <v>378</v>
      </c>
      <c r="B135" s="22" t="s">
        <v>379</v>
      </c>
      <c r="C135" s="34" t="s">
        <v>56</v>
      </c>
      <c r="D135" s="21">
        <v>3208</v>
      </c>
      <c r="E135" s="23"/>
      <c r="F135" s="177">
        <f>SUM(H135:BB135)</f>
        <v>880995512</v>
      </c>
      <c r="G135" s="177">
        <f>SUM(G137:G139)</f>
        <v>0</v>
      </c>
      <c r="H135" s="177">
        <f t="shared" ref="H135:BB135" si="75">SUM(H137:H139)</f>
        <v>130000000</v>
      </c>
      <c r="I135" s="177">
        <f t="shared" si="75"/>
        <v>0</v>
      </c>
      <c r="J135" s="177">
        <f t="shared" si="75"/>
        <v>0</v>
      </c>
      <c r="K135" s="177">
        <f t="shared" si="75"/>
        <v>0</v>
      </c>
      <c r="L135" s="177">
        <f t="shared" si="75"/>
        <v>21100000</v>
      </c>
      <c r="M135" s="177">
        <f t="shared" si="75"/>
        <v>0</v>
      </c>
      <c r="N135" s="177">
        <f t="shared" si="75"/>
        <v>50000000</v>
      </c>
      <c r="O135" s="177">
        <f t="shared" si="75"/>
        <v>230000000</v>
      </c>
      <c r="P135" s="177">
        <f t="shared" si="75"/>
        <v>0</v>
      </c>
      <c r="Q135" s="177">
        <f t="shared" si="75"/>
        <v>0</v>
      </c>
      <c r="R135" s="177">
        <f t="shared" si="75"/>
        <v>0</v>
      </c>
      <c r="S135" s="177">
        <f t="shared" ref="S135:W135" si="76">SUM(S137:S139)</f>
        <v>0</v>
      </c>
      <c r="T135" s="177">
        <f t="shared" si="76"/>
        <v>50000000</v>
      </c>
      <c r="U135" s="177">
        <f t="shared" si="76"/>
        <v>50000000</v>
      </c>
      <c r="V135" s="177">
        <f t="shared" si="76"/>
        <v>0</v>
      </c>
      <c r="W135" s="177">
        <f t="shared" si="76"/>
        <v>0</v>
      </c>
      <c r="X135" s="177">
        <f t="shared" si="75"/>
        <v>63422167</v>
      </c>
      <c r="Y135" s="177">
        <f t="shared" si="75"/>
        <v>69073894</v>
      </c>
      <c r="Z135" s="177">
        <f t="shared" si="75"/>
        <v>38499451</v>
      </c>
      <c r="AA135" s="177">
        <f t="shared" si="75"/>
        <v>0</v>
      </c>
      <c r="AB135" s="177">
        <f t="shared" si="75"/>
        <v>0</v>
      </c>
      <c r="AC135" s="177">
        <f t="shared" si="75"/>
        <v>0</v>
      </c>
      <c r="AD135" s="177">
        <f>SUM(AD137:AD139)</f>
        <v>178900000</v>
      </c>
      <c r="AE135" s="177">
        <f t="shared" si="75"/>
        <v>0</v>
      </c>
      <c r="AF135" s="177">
        <f t="shared" si="75"/>
        <v>0</v>
      </c>
      <c r="AG135" s="177">
        <f t="shared" si="75"/>
        <v>0</v>
      </c>
      <c r="AH135" s="177">
        <f t="shared" si="75"/>
        <v>0</v>
      </c>
      <c r="AI135" s="177">
        <f t="shared" si="75"/>
        <v>0</v>
      </c>
      <c r="AJ135" s="177">
        <f t="shared" si="75"/>
        <v>0</v>
      </c>
      <c r="AK135" s="177">
        <f t="shared" si="75"/>
        <v>0</v>
      </c>
      <c r="AL135" s="177">
        <f t="shared" si="75"/>
        <v>0</v>
      </c>
      <c r="AM135" s="177">
        <f t="shared" si="75"/>
        <v>0</v>
      </c>
      <c r="AN135" s="177">
        <f t="shared" si="75"/>
        <v>0</v>
      </c>
      <c r="AO135" s="177">
        <f t="shared" si="75"/>
        <v>0</v>
      </c>
      <c r="AP135" s="177">
        <f t="shared" si="75"/>
        <v>0</v>
      </c>
      <c r="AQ135" s="177">
        <f t="shared" si="75"/>
        <v>0</v>
      </c>
      <c r="AR135" s="177">
        <f t="shared" si="75"/>
        <v>0</v>
      </c>
      <c r="AS135" s="177">
        <f t="shared" si="75"/>
        <v>0</v>
      </c>
      <c r="AT135" s="177">
        <f t="shared" si="75"/>
        <v>0</v>
      </c>
      <c r="AU135" s="177">
        <f>SUM(AU137:AU139)</f>
        <v>0</v>
      </c>
      <c r="AV135" s="177">
        <f>SUM(AV137:AV139)</f>
        <v>0</v>
      </c>
      <c r="AW135" s="177">
        <f>SUM(AW137:AW139)</f>
        <v>0</v>
      </c>
      <c r="AX135" s="177">
        <f>SUM(AX137:AX139)</f>
        <v>0</v>
      </c>
      <c r="AY135" s="177">
        <f>SUM(AY137:AY139)</f>
        <v>0</v>
      </c>
      <c r="AZ135" s="177">
        <f t="shared" si="75"/>
        <v>0</v>
      </c>
      <c r="BA135" s="177">
        <f t="shared" si="75"/>
        <v>0</v>
      </c>
      <c r="BB135" s="190">
        <f t="shared" si="75"/>
        <v>0</v>
      </c>
      <c r="BC135" s="189"/>
      <c r="BD135" s="189"/>
      <c r="BE135" s="189"/>
      <c r="BF135" s="189"/>
      <c r="BG135" s="189"/>
      <c r="BH135" s="189"/>
      <c r="BI135" s="189"/>
      <c r="BJ135" s="189"/>
      <c r="BK135" s="189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</row>
    <row r="136" spans="1:75" s="212" customFormat="1" ht="25.5" x14ac:dyDescent="0.25">
      <c r="A136" s="24" t="s">
        <v>57</v>
      </c>
      <c r="B136" s="25" t="s">
        <v>58</v>
      </c>
      <c r="C136" s="25" t="s">
        <v>59</v>
      </c>
      <c r="D136" s="25" t="s">
        <v>60</v>
      </c>
      <c r="E136" s="25" t="s">
        <v>61</v>
      </c>
      <c r="F136" s="26" t="s">
        <v>62</v>
      </c>
      <c r="G136" s="191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  <c r="S136" s="180"/>
      <c r="T136" s="180"/>
      <c r="U136" s="180"/>
      <c r="V136" s="180"/>
      <c r="W136" s="180"/>
      <c r="X136" s="180"/>
      <c r="Y136" s="180"/>
      <c r="Z136" s="180"/>
      <c r="AA136" s="180"/>
      <c r="AB136" s="180"/>
      <c r="AC136" s="180"/>
      <c r="AD136" s="180"/>
      <c r="AE136" s="180"/>
      <c r="AF136" s="180"/>
      <c r="AG136" s="180"/>
      <c r="AH136" s="180"/>
      <c r="AI136" s="180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0"/>
      <c r="AW136" s="180"/>
      <c r="AX136" s="180"/>
      <c r="AY136" s="180"/>
      <c r="AZ136" s="180"/>
      <c r="BA136" s="180"/>
      <c r="BB136" s="211"/>
      <c r="BC136" s="189"/>
      <c r="BD136" s="189"/>
      <c r="BE136" s="189"/>
      <c r="BF136" s="189"/>
      <c r="BG136" s="189"/>
      <c r="BH136" s="189"/>
      <c r="BI136" s="189"/>
      <c r="BJ136" s="189"/>
      <c r="BK136" s="189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</row>
    <row r="137" spans="1:75" ht="90" customHeight="1" x14ac:dyDescent="0.25">
      <c r="A137" s="27" t="s">
        <v>380</v>
      </c>
      <c r="B137" s="310" t="s">
        <v>381</v>
      </c>
      <c r="C137" s="10" t="s">
        <v>154</v>
      </c>
      <c r="D137" s="10" t="s">
        <v>382</v>
      </c>
      <c r="E137" s="311">
        <v>100</v>
      </c>
      <c r="F137" s="195">
        <f>SUM(H137:BB137)</f>
        <v>700995512</v>
      </c>
      <c r="G137" s="330"/>
      <c r="H137" s="179">
        <v>30000000</v>
      </c>
      <c r="I137" s="179"/>
      <c r="J137" s="179"/>
      <c r="K137" s="179"/>
      <c r="L137" s="179">
        <v>21100000</v>
      </c>
      <c r="M137" s="179"/>
      <c r="N137" s="179">
        <v>50000000</v>
      </c>
      <c r="O137" s="179">
        <v>200000000</v>
      </c>
      <c r="P137" s="179"/>
      <c r="Q137" s="179"/>
      <c r="R137" s="179"/>
      <c r="S137" s="179"/>
      <c r="T137" s="179"/>
      <c r="U137" s="179">
        <v>50000000</v>
      </c>
      <c r="V137" s="179"/>
      <c r="W137" s="179"/>
      <c r="X137" s="179">
        <v>63422167</v>
      </c>
      <c r="Y137" s="179">
        <v>69073894</v>
      </c>
      <c r="Z137" s="179">
        <v>38499451</v>
      </c>
      <c r="AA137" s="179"/>
      <c r="AB137" s="179"/>
      <c r="AC137" s="179"/>
      <c r="AD137" s="179">
        <f>200000000-21100000</f>
        <v>178900000</v>
      </c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79"/>
      <c r="AT137" s="179"/>
      <c r="AU137" s="179"/>
      <c r="AV137" s="179"/>
      <c r="AW137" s="179"/>
      <c r="AX137" s="179"/>
      <c r="AY137" s="179"/>
      <c r="AZ137" s="179"/>
      <c r="BA137" s="179"/>
      <c r="BB137" s="213"/>
    </row>
    <row r="138" spans="1:75" ht="61.5" customHeight="1" x14ac:dyDescent="0.25">
      <c r="A138" s="27" t="s">
        <v>383</v>
      </c>
      <c r="B138" s="310" t="s">
        <v>384</v>
      </c>
      <c r="C138" s="10" t="s">
        <v>154</v>
      </c>
      <c r="D138" s="10" t="s">
        <v>382</v>
      </c>
      <c r="E138" s="311">
        <v>100</v>
      </c>
      <c r="F138" s="195">
        <f>SUM(H138:BB138)</f>
        <v>120000000</v>
      </c>
      <c r="G138" s="330"/>
      <c r="H138" s="179">
        <v>40000000</v>
      </c>
      <c r="I138" s="179"/>
      <c r="J138" s="179"/>
      <c r="K138" s="179"/>
      <c r="L138" s="179"/>
      <c r="M138" s="179"/>
      <c r="N138" s="179"/>
      <c r="O138" s="179">
        <v>30000000</v>
      </c>
      <c r="P138" s="179"/>
      <c r="Q138" s="179"/>
      <c r="R138" s="179"/>
      <c r="S138" s="179"/>
      <c r="T138" s="179">
        <v>50000000</v>
      </c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79"/>
      <c r="AT138" s="179"/>
      <c r="AU138" s="179"/>
      <c r="AV138" s="179"/>
      <c r="AW138" s="179"/>
      <c r="AX138" s="179"/>
      <c r="AY138" s="179"/>
      <c r="AZ138" s="179"/>
      <c r="BA138" s="179"/>
      <c r="BB138" s="213"/>
    </row>
    <row r="139" spans="1:75" ht="85.5" customHeight="1" x14ac:dyDescent="0.25">
      <c r="A139" s="27" t="s">
        <v>385</v>
      </c>
      <c r="B139" s="321" t="s">
        <v>386</v>
      </c>
      <c r="C139" s="27" t="s">
        <v>65</v>
      </c>
      <c r="D139" s="27" t="s">
        <v>387</v>
      </c>
      <c r="E139" s="30">
        <v>1</v>
      </c>
      <c r="F139" s="195">
        <f>SUM(H139:BB139)</f>
        <v>60000000</v>
      </c>
      <c r="G139" s="331"/>
      <c r="H139" s="179">
        <v>60000000</v>
      </c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79"/>
      <c r="AT139" s="179"/>
      <c r="AU139" s="179"/>
      <c r="AV139" s="179"/>
      <c r="AW139" s="179"/>
      <c r="AX139" s="179"/>
      <c r="AY139" s="179"/>
      <c r="AZ139" s="179"/>
      <c r="BA139" s="179"/>
      <c r="BB139" s="213"/>
    </row>
  </sheetData>
  <mergeCells count="11">
    <mergeCell ref="Y3:BB3"/>
    <mergeCell ref="C45:D45"/>
    <mergeCell ref="C7:D7"/>
    <mergeCell ref="C8:D8"/>
    <mergeCell ref="H3:X3"/>
    <mergeCell ref="C122:D122"/>
    <mergeCell ref="C97:D97"/>
    <mergeCell ref="C65:D65"/>
    <mergeCell ref="C66:D66"/>
    <mergeCell ref="C83:D83"/>
    <mergeCell ref="C96:D96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39"/>
  <sheetViews>
    <sheetView topLeftCell="C1" zoomScale="80" zoomScaleNormal="80" workbookViewId="0">
      <selection activeCell="E10" sqref="E10:F10"/>
    </sheetView>
  </sheetViews>
  <sheetFormatPr baseColWidth="10" defaultColWidth="11" defaultRowHeight="15.75" customHeight="1" x14ac:dyDescent="0.25"/>
  <cols>
    <col min="1" max="1" width="13.375" style="35" customWidth="1"/>
    <col min="2" max="2" width="40.75" style="35" customWidth="1"/>
    <col min="3" max="3" width="13.875" style="35" customWidth="1"/>
    <col min="4" max="4" width="21.625" style="35" customWidth="1"/>
    <col min="5" max="5" width="10.875" style="36" customWidth="1"/>
    <col min="6" max="6" width="18.25" style="37" customWidth="1"/>
    <col min="7" max="7" width="15.75" style="37" customWidth="1"/>
    <col min="8" max="8" width="17.375" style="35" customWidth="1"/>
    <col min="9" max="9" width="22.25" style="35" bestFit="1" customWidth="1"/>
    <col min="10" max="10" width="22.625" style="35" bestFit="1" customWidth="1"/>
    <col min="11" max="11" width="17.5" style="35" customWidth="1"/>
    <col min="12" max="12" width="16.375" style="35" customWidth="1"/>
    <col min="13" max="13" width="13.125" style="35" bestFit="1" customWidth="1"/>
    <col min="14" max="14" width="12.125" style="35" bestFit="1" customWidth="1"/>
    <col min="15" max="15" width="12" style="35" bestFit="1" customWidth="1"/>
    <col min="16" max="16" width="12.625" style="35" bestFit="1" customWidth="1"/>
    <col min="17" max="17" width="13.625" style="35" bestFit="1" customWidth="1"/>
    <col min="18" max="16384" width="11" style="35"/>
  </cols>
  <sheetData>
    <row r="1" spans="1:30" ht="15.75" customHeight="1" x14ac:dyDescent="0.25">
      <c r="L1" s="38"/>
    </row>
    <row r="2" spans="1:30" ht="15.75" customHeight="1" x14ac:dyDescent="0.25">
      <c r="G2" s="37">
        <f>+G5-G6</f>
        <v>16962000000</v>
      </c>
      <c r="H2" s="244">
        <f t="shared" ref="H2:Q2" si="0">+H5-H6</f>
        <v>0</v>
      </c>
      <c r="I2" s="244">
        <f t="shared" si="0"/>
        <v>0</v>
      </c>
      <c r="J2" s="244">
        <f t="shared" si="0"/>
        <v>0</v>
      </c>
      <c r="K2" s="244">
        <f t="shared" si="0"/>
        <v>0</v>
      </c>
      <c r="L2" s="244">
        <f t="shared" si="0"/>
        <v>0</v>
      </c>
      <c r="M2" s="244">
        <f t="shared" si="0"/>
        <v>0</v>
      </c>
      <c r="N2" s="244">
        <f t="shared" si="0"/>
        <v>0</v>
      </c>
      <c r="O2" s="244">
        <f t="shared" si="0"/>
        <v>0</v>
      </c>
      <c r="P2" s="244">
        <f t="shared" si="0"/>
        <v>0</v>
      </c>
      <c r="Q2" s="244">
        <f t="shared" si="0"/>
        <v>0</v>
      </c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</row>
    <row r="3" spans="1:30" ht="15" customHeight="1" x14ac:dyDescent="0.25">
      <c r="G3" s="346" t="s">
        <v>0</v>
      </c>
      <c r="H3" s="363" t="s">
        <v>1</v>
      </c>
      <c r="I3" s="363"/>
      <c r="J3" s="363"/>
      <c r="K3" s="363"/>
      <c r="L3" s="363"/>
      <c r="M3" s="363"/>
      <c r="N3" s="363"/>
      <c r="O3" s="364" t="s">
        <v>388</v>
      </c>
      <c r="P3" s="364"/>
      <c r="Q3" s="36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</row>
    <row r="4" spans="1:30" ht="51.75" customHeight="1" x14ac:dyDescent="0.25">
      <c r="F4" s="174" t="s">
        <v>3</v>
      </c>
      <c r="G4" s="346" t="s">
        <v>0</v>
      </c>
      <c r="H4" s="351" t="s">
        <v>4</v>
      </c>
      <c r="I4" s="351" t="s">
        <v>389</v>
      </c>
      <c r="J4" s="351" t="s">
        <v>9</v>
      </c>
      <c r="K4" s="351" t="s">
        <v>10</v>
      </c>
      <c r="L4" s="351" t="s">
        <v>11</v>
      </c>
      <c r="M4" s="351" t="s">
        <v>12</v>
      </c>
      <c r="N4" s="351" t="s">
        <v>13</v>
      </c>
      <c r="O4" s="351" t="s">
        <v>14</v>
      </c>
      <c r="P4" s="351" t="s">
        <v>390</v>
      </c>
      <c r="Q4" s="351" t="s">
        <v>19</v>
      </c>
    </row>
    <row r="5" spans="1:30" ht="15" x14ac:dyDescent="0.25">
      <c r="F5" s="43">
        <f>SUM(H5:R5)</f>
        <v>26722111000</v>
      </c>
      <c r="G5" s="347">
        <v>16962000000</v>
      </c>
      <c r="H5" s="352">
        <v>13559471000</v>
      </c>
      <c r="I5" s="352">
        <v>5423600000</v>
      </c>
      <c r="J5" s="352">
        <v>255200000</v>
      </c>
      <c r="K5" s="352">
        <v>1278000000</v>
      </c>
      <c r="L5" s="352">
        <v>5229900000</v>
      </c>
      <c r="M5" s="352">
        <v>4770000</v>
      </c>
      <c r="N5" s="352">
        <v>4770000</v>
      </c>
      <c r="O5" s="352">
        <v>266400000</v>
      </c>
      <c r="P5" s="352">
        <v>300000000</v>
      </c>
      <c r="Q5" s="352">
        <v>400000000</v>
      </c>
    </row>
    <row r="6" spans="1:30" ht="15" x14ac:dyDescent="0.25">
      <c r="F6" s="46"/>
      <c r="G6" s="47">
        <f t="shared" ref="G6:Q6" si="1">+G7+G65+G96</f>
        <v>0</v>
      </c>
      <c r="H6" s="353">
        <f t="shared" si="1"/>
        <v>13559471000</v>
      </c>
      <c r="I6" s="353">
        <f t="shared" si="1"/>
        <v>5423600000</v>
      </c>
      <c r="J6" s="353">
        <f t="shared" si="1"/>
        <v>255200000</v>
      </c>
      <c r="K6" s="353">
        <f t="shared" si="1"/>
        <v>1278000000</v>
      </c>
      <c r="L6" s="353">
        <f t="shared" si="1"/>
        <v>5229900000</v>
      </c>
      <c r="M6" s="353">
        <f t="shared" si="1"/>
        <v>4770000</v>
      </c>
      <c r="N6" s="353">
        <f t="shared" si="1"/>
        <v>4770000</v>
      </c>
      <c r="O6" s="353">
        <f t="shared" si="1"/>
        <v>266400000</v>
      </c>
      <c r="P6" s="353">
        <f t="shared" si="1"/>
        <v>300000000</v>
      </c>
      <c r="Q6" s="353">
        <f t="shared" si="1"/>
        <v>400000000</v>
      </c>
    </row>
    <row r="7" spans="1:30" s="50" customFormat="1" ht="15.75" customHeight="1" x14ac:dyDescent="0.25">
      <c r="A7" s="49" t="str">
        <f>+'2024'!A7</f>
        <v>PILAR 1</v>
      </c>
      <c r="B7" s="49" t="str">
        <f>+'2024'!B7</f>
        <v>BIOTERRITORIO SOSTENIBLE</v>
      </c>
      <c r="C7" s="366"/>
      <c r="D7" s="366"/>
      <c r="E7" s="51"/>
      <c r="F7" s="52">
        <f>SUM(G7:R7)</f>
        <v>12397900000</v>
      </c>
      <c r="G7" s="52">
        <f t="shared" ref="G7:Q7" si="2">G8+G45</f>
        <v>0</v>
      </c>
      <c r="H7" s="348">
        <f t="shared" si="2"/>
        <v>4270676021</v>
      </c>
      <c r="I7" s="348">
        <f t="shared" si="2"/>
        <v>2219323979</v>
      </c>
      <c r="J7" s="348">
        <f t="shared" si="2"/>
        <v>0</v>
      </c>
      <c r="K7" s="348">
        <f t="shared" si="2"/>
        <v>1178000000</v>
      </c>
      <c r="L7" s="348">
        <f t="shared" si="2"/>
        <v>4259900000</v>
      </c>
      <c r="M7" s="348">
        <f t="shared" si="2"/>
        <v>0</v>
      </c>
      <c r="N7" s="348">
        <f t="shared" si="2"/>
        <v>0</v>
      </c>
      <c r="O7" s="348">
        <f t="shared" si="2"/>
        <v>0</v>
      </c>
      <c r="P7" s="348">
        <f t="shared" si="2"/>
        <v>70000000</v>
      </c>
      <c r="Q7" s="349">
        <f t="shared" si="2"/>
        <v>400000000</v>
      </c>
    </row>
    <row r="8" spans="1:30" s="55" customFormat="1" ht="21" customHeight="1" x14ac:dyDescent="0.25">
      <c r="A8" s="54" t="str">
        <f>+'2024'!A8</f>
        <v>PROGRAMA 1.1</v>
      </c>
      <c r="B8" s="54" t="str">
        <f>+'2024'!B8</f>
        <v>BIODIVERSIDAD Y SERVICIOS ECOSITÉMICOS</v>
      </c>
      <c r="C8" s="365"/>
      <c r="D8" s="365"/>
      <c r="E8" s="56"/>
      <c r="F8" s="57">
        <f>SUM(G8:R8)</f>
        <v>9564900000</v>
      </c>
      <c r="G8" s="57">
        <f t="shared" ref="G8:Q8" si="3">+G9+G24+G36</f>
        <v>0</v>
      </c>
      <c r="H8" s="57">
        <f t="shared" si="3"/>
        <v>2307676021</v>
      </c>
      <c r="I8" s="57">
        <f t="shared" si="3"/>
        <v>1349323979</v>
      </c>
      <c r="J8" s="57">
        <f t="shared" si="3"/>
        <v>0</v>
      </c>
      <c r="K8" s="57">
        <f t="shared" si="3"/>
        <v>1178000000</v>
      </c>
      <c r="L8" s="57">
        <f t="shared" si="3"/>
        <v>4259900000</v>
      </c>
      <c r="M8" s="57">
        <f t="shared" si="3"/>
        <v>0</v>
      </c>
      <c r="N8" s="57">
        <f t="shared" si="3"/>
        <v>0</v>
      </c>
      <c r="O8" s="57">
        <f t="shared" si="3"/>
        <v>0</v>
      </c>
      <c r="P8" s="57">
        <f t="shared" si="3"/>
        <v>70000000</v>
      </c>
      <c r="Q8" s="58">
        <f t="shared" si="3"/>
        <v>400000000</v>
      </c>
    </row>
    <row r="9" spans="1:30" s="62" customFormat="1" ht="38.25" customHeight="1" x14ac:dyDescent="0.25">
      <c r="A9" s="59" t="str">
        <f>+'2024'!A9</f>
        <v>PROYECTO 1.1.1</v>
      </c>
      <c r="B9" s="60" t="str">
        <f>+'2024'!B9</f>
        <v xml:space="preserve">Acciones para la conservación de la  biodiversidad y sus servicios ecosistémicos  </v>
      </c>
      <c r="C9" s="59" t="s">
        <v>56</v>
      </c>
      <c r="D9" s="61">
        <v>3202</v>
      </c>
      <c r="E9" s="63"/>
      <c r="F9" s="64">
        <f>SUM(G9:R9)</f>
        <v>6094900000</v>
      </c>
      <c r="G9" s="64">
        <f>SUM(G11:G22)</f>
        <v>0</v>
      </c>
      <c r="H9" s="64">
        <f t="shared" ref="H9:Q9" si="4">SUM(H11:H23)</f>
        <v>462000000</v>
      </c>
      <c r="I9" s="64">
        <f t="shared" si="4"/>
        <v>675000000</v>
      </c>
      <c r="J9" s="64">
        <f t="shared" si="4"/>
        <v>0</v>
      </c>
      <c r="K9" s="64">
        <f t="shared" si="4"/>
        <v>828000000</v>
      </c>
      <c r="L9" s="64">
        <f t="shared" si="4"/>
        <v>3659900000</v>
      </c>
      <c r="M9" s="64">
        <f t="shared" si="4"/>
        <v>0</v>
      </c>
      <c r="N9" s="64">
        <f t="shared" si="4"/>
        <v>0</v>
      </c>
      <c r="O9" s="64">
        <f t="shared" si="4"/>
        <v>0</v>
      </c>
      <c r="P9" s="64">
        <f t="shared" si="4"/>
        <v>70000000</v>
      </c>
      <c r="Q9" s="64">
        <f t="shared" si="4"/>
        <v>400000000</v>
      </c>
    </row>
    <row r="10" spans="1:30" s="70" customFormat="1" ht="36" customHeight="1" x14ac:dyDescent="0.25">
      <c r="A10" s="66" t="str">
        <f>+'2024'!A10</f>
        <v>CODIGO</v>
      </c>
      <c r="B10" s="66" t="str">
        <f>+'2024'!B10</f>
        <v>ACCIONES 
(INFINITIVO)</v>
      </c>
      <c r="C10" s="66" t="str">
        <f>+'2024'!C10</f>
        <v>UNIDAD 
DE MEDIDA</v>
      </c>
      <c r="D10" s="66" t="str">
        <f>+'2024'!D10</f>
        <v>INDICADOR 
FÓRMULA</v>
      </c>
      <c r="E10" s="155" t="s">
        <v>391</v>
      </c>
      <c r="F10" s="161" t="s">
        <v>392</v>
      </c>
      <c r="P10" s="71"/>
      <c r="Q10" s="72"/>
    </row>
    <row r="11" spans="1:30" ht="67.5" customHeight="1" x14ac:dyDescent="0.25">
      <c r="A11" s="73" t="str">
        <f>+'2024'!A11</f>
        <v>1.1.1.1</v>
      </c>
      <c r="B11" s="73" t="str">
        <f>+'2024'!B11</f>
        <v xml:space="preserve">Restaurar áreas de especial importancia ambiental para la conservación de la biodiversidad y sus servicios ecosistemicos </v>
      </c>
      <c r="C11" s="73" t="str">
        <f>+'2024'!C11</f>
        <v>Número</v>
      </c>
      <c r="D11" s="73" t="str">
        <f>+'2024'!D11</f>
        <v># de Hectareas de áreas de ecosistemas en restauración, rehabilitación y reforestación</v>
      </c>
      <c r="E11" s="75">
        <v>51</v>
      </c>
      <c r="F11" s="76">
        <f t="shared" ref="F11:F24" si="5">SUM(G11:R11)</f>
        <v>828000000</v>
      </c>
      <c r="G11" s="77"/>
      <c r="H11" s="78"/>
      <c r="I11" s="78"/>
      <c r="J11" s="78"/>
      <c r="K11" s="78">
        <f>1278000000-650000000+100000000</f>
        <v>728000000</v>
      </c>
      <c r="L11" s="78"/>
      <c r="M11" s="78"/>
      <c r="N11" s="78"/>
      <c r="O11" s="79"/>
      <c r="P11" s="78"/>
      <c r="Q11" s="79">
        <v>100000000</v>
      </c>
    </row>
    <row r="12" spans="1:30" ht="36" customHeight="1" x14ac:dyDescent="0.25">
      <c r="A12" s="73" t="str">
        <f>+'2024'!A12</f>
        <v>1.1.1.2</v>
      </c>
      <c r="B12" s="73" t="str">
        <f>+'2024'!B12</f>
        <v>Implementar planes de manejo para prevenir, controlar y manejar especies invasoras de flora</v>
      </c>
      <c r="C12" s="73" t="str">
        <f>+'2024'!C12</f>
        <v>Número</v>
      </c>
      <c r="D12" s="73" t="str">
        <f>+'2024'!D12</f>
        <v xml:space="preserve"># de planes de manejo </v>
      </c>
      <c r="E12" s="75">
        <v>1</v>
      </c>
      <c r="F12" s="46">
        <f t="shared" si="5"/>
        <v>75000000</v>
      </c>
      <c r="G12" s="80"/>
      <c r="H12" s="78">
        <v>50000000</v>
      </c>
      <c r="I12" s="78">
        <v>25000000</v>
      </c>
      <c r="J12" s="78"/>
      <c r="K12" s="78"/>
      <c r="L12" s="78"/>
      <c r="M12" s="78"/>
      <c r="N12" s="78"/>
      <c r="O12" s="79"/>
      <c r="P12" s="78"/>
      <c r="Q12" s="79"/>
    </row>
    <row r="13" spans="1:30" ht="15" x14ac:dyDescent="0.25">
      <c r="A13" s="73" t="str">
        <f>+'2024'!A13</f>
        <v>1.1.1.3</v>
      </c>
      <c r="B13" s="73" t="str">
        <f>+'2024'!B13</f>
        <v xml:space="preserve">Asegurar la operatividad de los CAV de Flora </v>
      </c>
      <c r="C13" s="73" t="str">
        <f>+'2024'!C13</f>
        <v>Número</v>
      </c>
      <c r="D13" s="73" t="str">
        <f>+'2024'!D13</f>
        <v># de CAV</v>
      </c>
      <c r="E13" s="75">
        <v>1</v>
      </c>
      <c r="F13" s="46">
        <f t="shared" si="5"/>
        <v>175000000</v>
      </c>
      <c r="G13" s="80"/>
      <c r="H13" s="78">
        <v>140000000</v>
      </c>
      <c r="I13" s="78">
        <v>35000000</v>
      </c>
      <c r="J13" s="78"/>
      <c r="K13" s="78"/>
      <c r="L13" s="78"/>
      <c r="M13" s="78"/>
      <c r="N13" s="78"/>
      <c r="O13" s="79"/>
      <c r="P13" s="78"/>
      <c r="Q13" s="79"/>
    </row>
    <row r="14" spans="1:30" ht="38.25" customHeight="1" x14ac:dyDescent="0.25">
      <c r="A14" s="73" t="str">
        <f>+'2024'!A14</f>
        <v>1.1.1.4</v>
      </c>
      <c r="B14" s="73" t="str">
        <f>+'2024'!B14</f>
        <v>Implementar planes de manejo y acciones para la conservación de especies amenazadas de flora</v>
      </c>
      <c r="C14" s="73" t="str">
        <f>+'2024'!C14</f>
        <v>Número</v>
      </c>
      <c r="D14" s="73" t="str">
        <f>+'2024'!D14</f>
        <v xml:space="preserve"># de planes de manejo </v>
      </c>
      <c r="E14" s="75">
        <v>1</v>
      </c>
      <c r="F14" s="46">
        <f t="shared" si="5"/>
        <v>75000000</v>
      </c>
      <c r="G14" s="80"/>
      <c r="H14" s="78">
        <v>40000000</v>
      </c>
      <c r="I14" s="78">
        <v>35000000</v>
      </c>
      <c r="J14" s="78"/>
      <c r="K14" s="78"/>
      <c r="L14" s="78"/>
      <c r="M14" s="78"/>
      <c r="N14" s="78"/>
      <c r="O14" s="79"/>
      <c r="P14" s="78"/>
      <c r="Q14" s="79"/>
    </row>
    <row r="15" spans="1:30" ht="59.25" customHeight="1" x14ac:dyDescent="0.25">
      <c r="A15" s="73" t="str">
        <f>+'2024'!A15</f>
        <v>1.1.1.5</v>
      </c>
      <c r="B15" s="73" t="str">
        <f>+'2024'!B15</f>
        <v xml:space="preserve">Implementar proyecto de desarrollo forestal sostenible </v>
      </c>
      <c r="C15" s="73" t="str">
        <f>+'2024'!C15</f>
        <v>Número</v>
      </c>
      <c r="D15" s="73" t="str">
        <f>+'2024'!D15</f>
        <v>#proyecto de desarrollo forestal sostenible</v>
      </c>
      <c r="E15" s="81">
        <v>1</v>
      </c>
      <c r="F15" s="46">
        <f t="shared" si="5"/>
        <v>70000000</v>
      </c>
      <c r="G15" s="77"/>
      <c r="H15" s="78"/>
      <c r="I15" s="78">
        <v>70000000</v>
      </c>
      <c r="J15" s="78"/>
      <c r="K15" s="78"/>
      <c r="L15" s="78"/>
      <c r="M15" s="78"/>
      <c r="N15" s="78"/>
      <c r="O15" s="79"/>
      <c r="P15" s="78"/>
      <c r="Q15" s="79"/>
    </row>
    <row r="16" spans="1:30" ht="45.75" customHeight="1" x14ac:dyDescent="0.25">
      <c r="A16" s="73" t="str">
        <f>+'2024'!A16</f>
        <v>1.1.1.6</v>
      </c>
      <c r="B16" s="73" t="str">
        <f>+'2024'!B16</f>
        <v xml:space="preserve">Implementar estrátegias de incentivos para la conservación de la biodiversidad y sus servicios ecosistémicos </v>
      </c>
      <c r="C16" s="73" t="str">
        <f>+'2024'!C16</f>
        <v>Número</v>
      </c>
      <c r="D16" s="73" t="str">
        <f>+'2024'!D16</f>
        <v># de estrategias de pagos por servicios ambientales implementadas</v>
      </c>
      <c r="E16" s="82">
        <v>1</v>
      </c>
      <c r="F16" s="46">
        <f t="shared" si="5"/>
        <v>50000000</v>
      </c>
      <c r="G16" s="80"/>
      <c r="H16" s="78"/>
      <c r="I16" s="78">
        <v>50000000</v>
      </c>
      <c r="J16" s="78"/>
      <c r="K16" s="78"/>
      <c r="L16" s="78"/>
      <c r="M16" s="78"/>
      <c r="N16" s="78"/>
      <c r="O16" s="79"/>
      <c r="P16" s="78"/>
      <c r="Q16" s="79"/>
    </row>
    <row r="17" spans="1:17" ht="49.5" customHeight="1" x14ac:dyDescent="0.25">
      <c r="A17" s="73" t="str">
        <f>+'2024'!A17</f>
        <v>1.1.1.7</v>
      </c>
      <c r="B17" s="73" t="str">
        <f>+'2024'!B17</f>
        <v>Prevenir y controlar la contaminación hídrica (saneamiento básico rural)</v>
      </c>
      <c r="C17" s="73" t="str">
        <f>+'2024'!C17</f>
        <v>Número</v>
      </c>
      <c r="D17" s="73" t="str">
        <f>+'2024'!D17</f>
        <v xml:space="preserve"># de unidades de saneamiento básico rural </v>
      </c>
      <c r="E17" s="83">
        <v>110</v>
      </c>
      <c r="F17" s="46">
        <f t="shared" si="5"/>
        <v>742456000</v>
      </c>
      <c r="G17" s="85"/>
      <c r="H17" s="78"/>
      <c r="I17" s="78"/>
      <c r="J17" s="78"/>
      <c r="K17" s="78"/>
      <c r="L17" s="84">
        <v>742456000</v>
      </c>
      <c r="M17" s="78"/>
      <c r="N17" s="78"/>
      <c r="O17" s="79"/>
      <c r="P17" s="78"/>
      <c r="Q17" s="79"/>
    </row>
    <row r="18" spans="1:17" ht="63.75" customHeight="1" x14ac:dyDescent="0.25">
      <c r="A18" s="73" t="str">
        <f>+'2024'!A18</f>
        <v>1.1.1.8</v>
      </c>
      <c r="B18" s="73" t="str">
        <f>+'2024'!B18</f>
        <v>Prevenir y controlar la contaminación hídrica (saneamiento básico urbano)</v>
      </c>
      <c r="C18" s="73" t="str">
        <f>+'2024'!C18</f>
        <v>Número</v>
      </c>
      <c r="D18" s="73" t="str">
        <f>+'2024'!D18</f>
        <v># de municipios con obras  saneamiento básico urbano</v>
      </c>
      <c r="E18" s="83">
        <v>3</v>
      </c>
      <c r="F18" s="46">
        <f t="shared" si="5"/>
        <v>2987444000</v>
      </c>
      <c r="G18" s="86"/>
      <c r="H18" s="78"/>
      <c r="I18" s="78"/>
      <c r="J18" s="78"/>
      <c r="K18" s="78"/>
      <c r="L18" s="84">
        <f>2460000000-250000000+707444000</f>
        <v>2917444000</v>
      </c>
      <c r="M18" s="78"/>
      <c r="N18" s="78"/>
      <c r="O18" s="79"/>
      <c r="P18" s="78">
        <v>70000000</v>
      </c>
      <c r="Q18" s="79"/>
    </row>
    <row r="19" spans="1:17" ht="60" customHeight="1" x14ac:dyDescent="0.25">
      <c r="A19" s="73" t="str">
        <f>+'2024'!A19</f>
        <v>1.1.1.9</v>
      </c>
      <c r="B19" s="73" t="str">
        <f>+'2024'!B19</f>
        <v xml:space="preserve">Implementar acciones de los planes de manejo de áreas protegidas y ecosistemas estrátegicos </v>
      </c>
      <c r="C19" s="73" t="str">
        <f>+'2024'!C19</f>
        <v>Número</v>
      </c>
      <c r="D19" s="73" t="str">
        <f>+'2024'!D19</f>
        <v># planes de manejo con  acciones implementadas</v>
      </c>
      <c r="E19" s="87">
        <v>3</v>
      </c>
      <c r="F19" s="46">
        <f t="shared" si="5"/>
        <v>300000000</v>
      </c>
      <c r="G19" s="80"/>
      <c r="H19" s="78"/>
      <c r="I19" s="78">
        <v>200000000</v>
      </c>
      <c r="J19" s="78"/>
      <c r="K19" s="78">
        <v>100000000</v>
      </c>
      <c r="L19" s="78"/>
      <c r="M19" s="78"/>
      <c r="N19" s="78"/>
      <c r="O19" s="79"/>
      <c r="P19" s="78"/>
      <c r="Q19" s="79"/>
    </row>
    <row r="20" spans="1:17" ht="70.5" customHeight="1" x14ac:dyDescent="0.25">
      <c r="A20" s="73" t="str">
        <f>+'2024'!A20</f>
        <v>1.1.1.10</v>
      </c>
      <c r="B20" s="73" t="str">
        <f>+'2024'!B20</f>
        <v>Implementar otras estrategias de conservación  y  apoyar la declaratoria de las  Reservas Naturales de la Sociedad Civil</v>
      </c>
      <c r="C20" s="73" t="str">
        <f>+'2024'!C20</f>
        <v>Número</v>
      </c>
      <c r="D20" s="73" t="str">
        <f>+'2024'!D20</f>
        <v># de predios con otras estratégias de conservación implementadas</v>
      </c>
      <c r="E20" s="75">
        <v>5</v>
      </c>
      <c r="F20" s="46">
        <f t="shared" si="5"/>
        <v>150000000</v>
      </c>
      <c r="G20" s="80"/>
      <c r="H20" s="78">
        <v>80000000</v>
      </c>
      <c r="I20" s="78">
        <v>70000000</v>
      </c>
      <c r="J20" s="78"/>
      <c r="K20" s="78"/>
      <c r="L20" s="78"/>
      <c r="M20" s="78"/>
      <c r="N20" s="78"/>
      <c r="O20" s="79"/>
      <c r="P20" s="78"/>
      <c r="Q20" s="79"/>
    </row>
    <row r="21" spans="1:17" ht="48.75" customHeight="1" x14ac:dyDescent="0.25">
      <c r="A21" s="73" t="str">
        <f>+'2024'!A21</f>
        <v>1.1.1.11</v>
      </c>
      <c r="B21" s="73" t="str">
        <f>+'2024'!B21</f>
        <v xml:space="preserve">Apoyar proyectos de uso sostenible de la biodiversidad y sus servicios ecosistemicos </v>
      </c>
      <c r="C21" s="73" t="str">
        <f>+'2024'!C21</f>
        <v>Número</v>
      </c>
      <c r="D21" s="73" t="str">
        <f>+'2024'!D21</f>
        <v># de proyectos apoyados</v>
      </c>
      <c r="E21" s="82">
        <v>2</v>
      </c>
      <c r="F21" s="46">
        <f t="shared" si="5"/>
        <v>280000000</v>
      </c>
      <c r="G21" s="80"/>
      <c r="H21" s="129">
        <v>80000000</v>
      </c>
      <c r="I21" s="129">
        <v>100000000</v>
      </c>
      <c r="J21" s="129"/>
      <c r="K21" s="129"/>
      <c r="L21" s="129"/>
      <c r="M21" s="129"/>
      <c r="N21" s="129"/>
      <c r="O21" s="130"/>
      <c r="P21" s="129"/>
      <c r="Q21" s="130">
        <v>100000000</v>
      </c>
    </row>
    <row r="22" spans="1:17" ht="57" customHeight="1" x14ac:dyDescent="0.25">
      <c r="A22" s="73" t="str">
        <f>+'2024'!A22</f>
        <v>1.1.1.12</v>
      </c>
      <c r="B22" s="73" t="str">
        <f>+'2024'!B22</f>
        <v xml:space="preserve">Asesorar a los entes territoriales y otros actores para la conservacion, manejo y uso sostenible de la Biodiversidad y sus servicios ecosistemicos </v>
      </c>
      <c r="C22" s="73" t="str">
        <f>+'2024'!C22</f>
        <v>Número</v>
      </c>
      <c r="D22" s="73" t="str">
        <f>+'2024'!D22</f>
        <v># de municipios asesorados</v>
      </c>
      <c r="E22" s="81">
        <v>27</v>
      </c>
      <c r="F22" s="46">
        <f t="shared" si="5"/>
        <v>272000000</v>
      </c>
      <c r="G22" s="88"/>
      <c r="H22" s="39">
        <v>72000000</v>
      </c>
      <c r="I22" s="39"/>
      <c r="J22" s="39"/>
      <c r="K22" s="39"/>
      <c r="L22" s="39"/>
      <c r="M22" s="39"/>
      <c r="N22" s="39"/>
      <c r="O22" s="39"/>
      <c r="P22" s="39"/>
      <c r="Q22" s="39">
        <v>200000000</v>
      </c>
    </row>
    <row r="23" spans="1:17" ht="84" customHeight="1" x14ac:dyDescent="0.25">
      <c r="A23" s="98" t="str">
        <f>+'2024'!A23</f>
        <v>1.1.1.13</v>
      </c>
      <c r="B23" s="98" t="str">
        <f>+'2024'!B23</f>
        <v>Impulsar el desarrollo de sistemas regenerativos de producción agrícola y pecuaria agroecológica, como soporte de la recuperación de la biodiversidad, los suelos y la conectividad funcional.</v>
      </c>
      <c r="C23" s="98" t="str">
        <f>+'2024'!C23</f>
        <v>Número</v>
      </c>
      <c r="D23" s="98" t="str">
        <f>+'2024'!D23</f>
        <v># de iniciativas apoyadas</v>
      </c>
      <c r="E23" s="343">
        <v>6</v>
      </c>
      <c r="F23" s="46">
        <f t="shared" si="5"/>
        <v>90000000</v>
      </c>
      <c r="G23" s="88"/>
      <c r="H23" s="39"/>
      <c r="I23" s="39">
        <v>90000000</v>
      </c>
      <c r="J23" s="39"/>
      <c r="K23" s="39"/>
      <c r="L23" s="39"/>
      <c r="M23" s="39"/>
      <c r="N23" s="39"/>
      <c r="O23" s="39"/>
      <c r="P23" s="39"/>
      <c r="Q23" s="39"/>
    </row>
    <row r="24" spans="1:17" s="89" customFormat="1" ht="53.25" customHeight="1" x14ac:dyDescent="0.25">
      <c r="A24" s="284" t="str">
        <f>+'2024'!A24</f>
        <v>PROYECTO 1.1.2</v>
      </c>
      <c r="B24" s="284" t="str">
        <f>+'2024'!B24</f>
        <v xml:space="preserve">Gestion del conocimiento e innovación para la conservación y uso sostenible de la biodiversidad y sus servicios ecosistémicos </v>
      </c>
      <c r="C24" s="284" t="str">
        <f>+'2024'!C24</f>
        <v>CÓDIGO DNP</v>
      </c>
      <c r="D24" s="284">
        <f>+'2024'!D24</f>
        <v>3202</v>
      </c>
      <c r="E24" s="90"/>
      <c r="F24" s="92">
        <f t="shared" si="5"/>
        <v>2040000000</v>
      </c>
      <c r="G24" s="91">
        <f>SUM(G26:G34)</f>
        <v>0</v>
      </c>
      <c r="H24" s="91">
        <f t="shared" ref="H24:Q24" si="6">SUM(H26:H35)</f>
        <v>1020676021</v>
      </c>
      <c r="I24" s="91">
        <f t="shared" si="6"/>
        <v>69323979</v>
      </c>
      <c r="J24" s="91">
        <f t="shared" si="6"/>
        <v>0</v>
      </c>
      <c r="K24" s="91">
        <f t="shared" si="6"/>
        <v>350000000</v>
      </c>
      <c r="L24" s="91">
        <f t="shared" si="6"/>
        <v>600000000</v>
      </c>
      <c r="M24" s="91">
        <f t="shared" si="6"/>
        <v>0</v>
      </c>
      <c r="N24" s="91">
        <f t="shared" si="6"/>
        <v>0</v>
      </c>
      <c r="O24" s="91">
        <f t="shared" si="6"/>
        <v>0</v>
      </c>
      <c r="P24" s="91">
        <f t="shared" si="6"/>
        <v>0</v>
      </c>
      <c r="Q24" s="91">
        <f t="shared" si="6"/>
        <v>0</v>
      </c>
    </row>
    <row r="25" spans="1:17" s="70" customFormat="1" ht="38.25" customHeight="1" x14ac:dyDescent="0.25">
      <c r="A25" s="282" t="str">
        <f>+'2024'!A25</f>
        <v>CODIGO</v>
      </c>
      <c r="B25" s="282" t="str">
        <f>+'2024'!B25</f>
        <v>ACCIONES 
(INFINITIVO)</v>
      </c>
      <c r="C25" s="282" t="str">
        <f>+'2024'!C25</f>
        <v>UNIDAD 
DE MEDIDA</v>
      </c>
      <c r="D25" s="282" t="str">
        <f>+'2024'!D25</f>
        <v>INDICADOR 
FÓRMULA</v>
      </c>
      <c r="E25" s="67" t="s">
        <v>391</v>
      </c>
      <c r="F25" s="69" t="s">
        <v>392</v>
      </c>
      <c r="G25" s="95"/>
      <c r="H25" s="71"/>
      <c r="I25" s="71"/>
      <c r="J25" s="71"/>
      <c r="K25" s="71"/>
      <c r="L25" s="71"/>
      <c r="M25" s="71"/>
      <c r="N25" s="71"/>
      <c r="O25" s="72"/>
      <c r="P25" s="71"/>
      <c r="Q25" s="72"/>
    </row>
    <row r="26" spans="1:17" ht="30" x14ac:dyDescent="0.25">
      <c r="A26" s="73" t="str">
        <f>+'2024'!A26</f>
        <v>1.1.2.1</v>
      </c>
      <c r="B26" s="73" t="str">
        <f>+'2024'!B26</f>
        <v xml:space="preserve">Realizar análisis de efectividad de áreas protegidas </v>
      </c>
      <c r="C26" s="73" t="str">
        <f>+'2024'!C26</f>
        <v>Número</v>
      </c>
      <c r="D26" s="73" t="str">
        <f>+'2024'!D26</f>
        <v># de AP con análisis de efectividad</v>
      </c>
      <c r="E26" s="247">
        <v>16</v>
      </c>
      <c r="F26" s="46">
        <f t="shared" ref="F26:F33" si="7">SUM(G26:R26)</f>
        <v>70000000</v>
      </c>
      <c r="G26" s="97"/>
      <c r="H26" s="78">
        <v>70000000</v>
      </c>
      <c r="I26" s="78"/>
      <c r="J26" s="78"/>
      <c r="K26" s="78"/>
      <c r="L26" s="78"/>
      <c r="M26" s="78"/>
      <c r="N26" s="78"/>
      <c r="O26" s="79"/>
      <c r="P26" s="78"/>
      <c r="Q26" s="79"/>
    </row>
    <row r="27" spans="1:17" ht="57.75" customHeight="1" x14ac:dyDescent="0.25">
      <c r="A27" s="73" t="str">
        <f>+'2024'!A27</f>
        <v>1.1.2.2</v>
      </c>
      <c r="B27" s="73" t="str">
        <f>+'2024'!B27</f>
        <v>Realizar estudios de biodiversidad y servicios ecosistémicos para actualizar la línea base del departamento</v>
      </c>
      <c r="C27" s="73" t="str">
        <f>+'2024'!C27</f>
        <v>Número</v>
      </c>
      <c r="D27" s="73" t="str">
        <f>+'2024'!D27</f>
        <v># de estudios de biodiversidad</v>
      </c>
      <c r="E27" s="96">
        <v>1</v>
      </c>
      <c r="F27" s="46">
        <f t="shared" si="7"/>
        <v>180000000</v>
      </c>
      <c r="G27" s="97"/>
      <c r="H27" s="78">
        <v>180000000</v>
      </c>
      <c r="I27" s="78"/>
      <c r="J27" s="78"/>
      <c r="K27" s="78"/>
      <c r="L27" s="78"/>
      <c r="M27" s="78"/>
      <c r="N27" s="78"/>
      <c r="O27" s="79"/>
      <c r="P27" s="78"/>
      <c r="Q27" s="79"/>
    </row>
    <row r="28" spans="1:17" ht="55.5" customHeight="1" x14ac:dyDescent="0.25">
      <c r="A28" s="73" t="str">
        <f>+'2024'!A28</f>
        <v>1.1.2.3</v>
      </c>
      <c r="B28" s="73" t="str">
        <f>+'2024'!B28</f>
        <v>Realizar estudios de capacidad de carga turística en áreas ambientales estratégicas para reglamentar el ecoturismo</v>
      </c>
      <c r="C28" s="73" t="str">
        <f>+'2024'!C28</f>
        <v>Número</v>
      </c>
      <c r="D28" s="73" t="str">
        <f>+'2024'!D28</f>
        <v># de estudios de capacidad de carga</v>
      </c>
      <c r="E28" s="96">
        <v>1</v>
      </c>
      <c r="F28" s="46">
        <f t="shared" si="7"/>
        <v>40000000</v>
      </c>
      <c r="G28" s="97"/>
      <c r="H28" s="78">
        <v>30676021</v>
      </c>
      <c r="I28" s="78">
        <v>9323979</v>
      </c>
      <c r="J28" s="78"/>
      <c r="K28" s="78"/>
      <c r="L28" s="78"/>
      <c r="M28" s="78"/>
      <c r="N28" s="78"/>
      <c r="O28" s="79"/>
      <c r="P28" s="78"/>
      <c r="Q28" s="79"/>
    </row>
    <row r="29" spans="1:17" ht="33" customHeight="1" x14ac:dyDescent="0.25">
      <c r="A29" s="73" t="str">
        <f>+'2024'!A29</f>
        <v>1.1.2.4</v>
      </c>
      <c r="B29" s="73" t="str">
        <f>+'2024'!B29</f>
        <v>Realizar estudios de calidad de aire</v>
      </c>
      <c r="C29" s="73" t="str">
        <f>+'2024'!C29</f>
        <v>Número</v>
      </c>
      <c r="D29" s="73" t="str">
        <f>+'2024'!D29</f>
        <v># de estudios de calidad de aire</v>
      </c>
      <c r="E29" s="96">
        <v>0</v>
      </c>
      <c r="F29" s="46">
        <f t="shared" si="7"/>
        <v>0</v>
      </c>
      <c r="G29" s="97"/>
      <c r="H29" s="78"/>
      <c r="I29" s="78"/>
      <c r="J29" s="78"/>
      <c r="K29" s="78"/>
      <c r="L29" s="78"/>
      <c r="M29" s="78"/>
      <c r="N29" s="78"/>
      <c r="O29" s="79"/>
      <c r="P29" s="78"/>
      <c r="Q29" s="79"/>
    </row>
    <row r="30" spans="1:17" ht="47.25" customHeight="1" x14ac:dyDescent="0.25">
      <c r="A30" s="73" t="str">
        <f>+'2024'!A30</f>
        <v>1.1.2.5</v>
      </c>
      <c r="B30" s="73" t="str">
        <f>+'2024'!B30</f>
        <v>Ampliar y garantizar la operación y el mantenimiento de las  redes de monitoreo</v>
      </c>
      <c r="C30" s="73" t="str">
        <f>+'2024'!C30</f>
        <v>Número</v>
      </c>
      <c r="D30" s="73" t="str">
        <f>+'2024'!D30</f>
        <v>Número de redes de monitoreo en operación</v>
      </c>
      <c r="E30" s="96">
        <v>6</v>
      </c>
      <c r="F30" s="46">
        <f t="shared" si="7"/>
        <v>1500000000</v>
      </c>
      <c r="G30" s="97"/>
      <c r="H30" s="78">
        <v>550000000</v>
      </c>
      <c r="I30" s="78"/>
      <c r="J30" s="78"/>
      <c r="K30" s="78">
        <v>350000000</v>
      </c>
      <c r="L30" s="78">
        <v>600000000</v>
      </c>
      <c r="M30" s="78"/>
      <c r="N30" s="78"/>
      <c r="O30" s="79"/>
      <c r="P30" s="78"/>
      <c r="Q30" s="79"/>
    </row>
    <row r="31" spans="1:17" ht="59.25" customHeight="1" x14ac:dyDescent="0.25">
      <c r="A31" s="73" t="str">
        <f>+'2024'!A31</f>
        <v>1.1.2.6</v>
      </c>
      <c r="B31" s="73" t="str">
        <f>+'2024'!B31</f>
        <v>Garantizar el funcionamiento del Sistema Información Ambiental</v>
      </c>
      <c r="C31" s="73" t="str">
        <f>+'2024'!C31</f>
        <v>Número</v>
      </c>
      <c r="D31" s="73" t="str">
        <f>+'2024'!D31</f>
        <v>Sistema de información regional funcionando</v>
      </c>
      <c r="E31" s="96">
        <v>1</v>
      </c>
      <c r="F31" s="46">
        <f t="shared" si="7"/>
        <v>110000000</v>
      </c>
      <c r="G31" s="97"/>
      <c r="H31" s="78">
        <v>110000000</v>
      </c>
      <c r="I31" s="78"/>
      <c r="J31" s="78"/>
      <c r="K31" s="78"/>
      <c r="L31" s="78"/>
      <c r="M31" s="78"/>
      <c r="N31" s="78"/>
      <c r="O31" s="79"/>
      <c r="P31" s="78"/>
      <c r="Q31" s="79"/>
    </row>
    <row r="32" spans="1:17" ht="61.5" customHeight="1" x14ac:dyDescent="0.25">
      <c r="A32" s="73" t="str">
        <f>+'2024'!A32</f>
        <v>1.1.2.7</v>
      </c>
      <c r="B32" s="73" t="str">
        <f>+'2024'!B32</f>
        <v xml:space="preserve">Realizar estudios tendientes a la caracterización de la degradación de suelos </v>
      </c>
      <c r="C32" s="73" t="str">
        <f>+'2024'!C32</f>
        <v xml:space="preserve">Porcentaje </v>
      </c>
      <c r="D32" s="73" t="str">
        <f>+'2024'!D32</f>
        <v xml:space="preserve">% estudios de caracterización de la degradación de suelos </v>
      </c>
      <c r="E32" s="247">
        <v>0</v>
      </c>
      <c r="F32" s="46">
        <f t="shared" si="7"/>
        <v>0</v>
      </c>
      <c r="G32" s="97"/>
      <c r="H32" s="78"/>
      <c r="I32" s="78"/>
      <c r="J32" s="78"/>
      <c r="K32" s="78"/>
      <c r="L32" s="78"/>
      <c r="M32" s="78"/>
      <c r="N32" s="78"/>
      <c r="O32" s="79"/>
      <c r="P32" s="78"/>
      <c r="Q32" s="79"/>
    </row>
    <row r="33" spans="1:41" ht="39.75" customHeight="1" x14ac:dyDescent="0.25">
      <c r="A33" s="73" t="str">
        <f>+'2024'!A33</f>
        <v>1.1.2.8</v>
      </c>
      <c r="B33" s="73" t="str">
        <f>+'2024'!B33</f>
        <v>Ampliar el conocimiento hidrogeologico de la región centro sur del departamento de Caldas</v>
      </c>
      <c r="C33" s="73" t="str">
        <f>+'2024'!C33</f>
        <v xml:space="preserve">Porcentaje </v>
      </c>
      <c r="D33" s="73" t="str">
        <f>+'2024'!D33</f>
        <v>% de estudios Fases I y II</v>
      </c>
      <c r="E33" s="248">
        <v>0</v>
      </c>
      <c r="F33" s="46">
        <f t="shared" si="7"/>
        <v>0</v>
      </c>
      <c r="G33" s="80"/>
      <c r="H33" s="100"/>
      <c r="I33" s="78"/>
      <c r="J33" s="78"/>
      <c r="K33" s="78"/>
      <c r="L33" s="78"/>
      <c r="M33" s="78"/>
      <c r="N33" s="78"/>
      <c r="O33" s="79"/>
      <c r="P33" s="78"/>
      <c r="Q33" s="79"/>
    </row>
    <row r="34" spans="1:41" ht="64.5" customHeight="1" x14ac:dyDescent="0.25">
      <c r="A34" s="73" t="str">
        <f>+'2024'!A34</f>
        <v>1.1.2.9</v>
      </c>
      <c r="B34" s="73" t="str">
        <f>+'2024'!B34</f>
        <v>Desarrollar programa de monitoreo participativo en torno a la biodiversidad y los servicios ecosistemicos</v>
      </c>
      <c r="C34" s="73" t="str">
        <f>+'2024'!C34</f>
        <v>Número</v>
      </c>
      <c r="D34" s="73" t="str">
        <f>+'2024'!D34</f>
        <v xml:space="preserve"> Programa de Monitoreo Participativo</v>
      </c>
      <c r="E34" s="250">
        <v>1</v>
      </c>
      <c r="F34" s="251">
        <f>SUM(H34:AO34)</f>
        <v>80000000</v>
      </c>
      <c r="G34" s="251"/>
      <c r="H34" s="154">
        <v>80000000</v>
      </c>
      <c r="I34" s="154"/>
      <c r="J34" s="154"/>
      <c r="K34" s="154"/>
      <c r="L34" s="154"/>
      <c r="M34" s="154"/>
      <c r="N34" s="154"/>
      <c r="O34" s="154"/>
      <c r="P34" s="154"/>
      <c r="Q34" s="252"/>
      <c r="R34" s="10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</row>
    <row r="35" spans="1:41" ht="93.75" customHeight="1" x14ac:dyDescent="0.25">
      <c r="A35" s="98" t="str">
        <f>+'2024'!A35</f>
        <v>1.1.2.10</v>
      </c>
      <c r="B35" s="98" t="str">
        <f>+'2024'!B35</f>
        <v>Adelantar un estudio de caracterización sobre sistemas locales de cosecha y aprovechamiento de agua lluvia y el potencial de la incorporación de su uso doméstico , comercial e industrial como mecanismo de adaptación al cambio climático y de aporte al ahorro y uso eficiente del recurso hídrico</v>
      </c>
      <c r="C35" s="98" t="str">
        <f>+'2024'!C35</f>
        <v xml:space="preserve">Porcentaje </v>
      </c>
      <c r="D35" s="98" t="str">
        <f>+'2024'!D35</f>
        <v>% de estudio de caracterización de cosecha y aprovechamiento de agua lluvia</v>
      </c>
      <c r="E35" s="344">
        <v>50</v>
      </c>
      <c r="F35" s="102">
        <f>SUM(H35:AO35)</f>
        <v>60000000</v>
      </c>
      <c r="G35" s="102"/>
      <c r="H35" s="39"/>
      <c r="I35" s="39">
        <v>60000000</v>
      </c>
      <c r="J35" s="39"/>
      <c r="K35" s="39"/>
      <c r="L35" s="39"/>
      <c r="M35" s="39"/>
      <c r="N35" s="39"/>
      <c r="O35" s="39"/>
      <c r="P35" s="39"/>
      <c r="Q35" s="39"/>
    </row>
    <row r="36" spans="1:41" s="89" customFormat="1" ht="36" customHeight="1" x14ac:dyDescent="0.25">
      <c r="A36" s="281" t="str">
        <f>+'2024'!A36</f>
        <v>PROYECTO 1.1.3</v>
      </c>
      <c r="B36" s="281" t="str">
        <f>+'2024'!B36</f>
        <v>Conservacion y Manejo de la Fauna Silvestre</v>
      </c>
      <c r="C36" s="281" t="str">
        <f>+'2024'!C36</f>
        <v>CÓDIGO DNP</v>
      </c>
      <c r="D36" s="281">
        <f>+'2024'!D36</f>
        <v>3202</v>
      </c>
      <c r="E36" s="105"/>
      <c r="F36" s="172">
        <f>SUM(G36:R36)</f>
        <v>1430000000</v>
      </c>
      <c r="G36" s="106">
        <f t="shared" ref="G36:Q36" si="8">SUM(G38:G44)</f>
        <v>0</v>
      </c>
      <c r="H36" s="106">
        <f t="shared" si="8"/>
        <v>825000000</v>
      </c>
      <c r="I36" s="106">
        <f t="shared" si="8"/>
        <v>605000000</v>
      </c>
      <c r="J36" s="106">
        <f t="shared" si="8"/>
        <v>0</v>
      </c>
      <c r="K36" s="106">
        <f t="shared" si="8"/>
        <v>0</v>
      </c>
      <c r="L36" s="106">
        <f t="shared" si="8"/>
        <v>0</v>
      </c>
      <c r="M36" s="106">
        <f t="shared" si="8"/>
        <v>0</v>
      </c>
      <c r="N36" s="106">
        <f t="shared" si="8"/>
        <v>0</v>
      </c>
      <c r="O36" s="106">
        <f t="shared" si="8"/>
        <v>0</v>
      </c>
      <c r="P36" s="106">
        <f t="shared" si="8"/>
        <v>0</v>
      </c>
      <c r="Q36" s="106">
        <f t="shared" si="8"/>
        <v>0</v>
      </c>
    </row>
    <row r="37" spans="1:41" s="70" customFormat="1" ht="55.5" customHeight="1" x14ac:dyDescent="0.25">
      <c r="A37" s="282" t="str">
        <f>+'2024'!A37</f>
        <v>CODIGO</v>
      </c>
      <c r="B37" s="282" t="str">
        <f>+'2024'!B37</f>
        <v>ACCIONES 
(INFINITIVO)</v>
      </c>
      <c r="C37" s="282" t="str">
        <f>+'2024'!C37</f>
        <v>UNIDAD 
DE MEDIDA</v>
      </c>
      <c r="D37" s="282" t="str">
        <f>+'2024'!D37</f>
        <v>INDICADOR 
FÓRMULA</v>
      </c>
      <c r="E37" s="68" t="s">
        <v>391</v>
      </c>
      <c r="F37" s="69" t="s">
        <v>392</v>
      </c>
      <c r="G37" s="95"/>
      <c r="H37" s="71"/>
      <c r="I37" s="71"/>
      <c r="J37" s="71"/>
      <c r="K37" s="71"/>
      <c r="L37" s="71"/>
      <c r="M37" s="71"/>
      <c r="N37" s="71"/>
      <c r="O37" s="72"/>
      <c r="P37" s="71"/>
      <c r="Q37" s="72"/>
    </row>
    <row r="38" spans="1:41" ht="53.25" customHeight="1" x14ac:dyDescent="0.25">
      <c r="A38" s="73" t="str">
        <f>+'2024'!A38</f>
        <v>1.1.3.1</v>
      </c>
      <c r="B38" s="73" t="str">
        <f>+'2024'!B38</f>
        <v xml:space="preserve">Asegurar la operatividad de los CAV de Fauna de Corpocaldas </v>
      </c>
      <c r="C38" s="73" t="str">
        <f>+'2024'!C38</f>
        <v>Número</v>
      </c>
      <c r="D38" s="73" t="str">
        <f>+'2024'!D38</f>
        <v># de CAV implementados y operando</v>
      </c>
      <c r="E38" s="75">
        <v>3</v>
      </c>
      <c r="F38" s="46">
        <f t="shared" ref="F38:F46" si="9">SUM(G38:R38)</f>
        <v>950000000</v>
      </c>
      <c r="G38" s="80"/>
      <c r="H38" s="78">
        <v>500000000</v>
      </c>
      <c r="I38" s="78">
        <v>450000000</v>
      </c>
      <c r="J38" s="78"/>
      <c r="K38" s="78"/>
      <c r="L38" s="78"/>
      <c r="M38" s="78"/>
      <c r="N38" s="78"/>
      <c r="O38" s="79"/>
      <c r="P38" s="78"/>
      <c r="Q38" s="79"/>
    </row>
    <row r="39" spans="1:41" ht="45.75" customHeight="1" x14ac:dyDescent="0.25">
      <c r="A39" s="73" t="str">
        <f>+'2024'!A39</f>
        <v>1.1.3.2</v>
      </c>
      <c r="B39" s="73" t="str">
        <f>+'2024'!B39</f>
        <v>Diseñar e Implementar una estrategia para prevención y control de la casería, el trafico y tenencia ilegal de fauna silvestre</v>
      </c>
      <c r="C39" s="73" t="str">
        <f>+'2024'!C39</f>
        <v>Número</v>
      </c>
      <c r="D39" s="73" t="str">
        <f>+'2024'!D39</f>
        <v xml:space="preserve">Estrategia diseñada e implementada </v>
      </c>
      <c r="E39" s="75">
        <v>1</v>
      </c>
      <c r="F39" s="76">
        <f t="shared" si="9"/>
        <v>60000000</v>
      </c>
      <c r="G39" s="77"/>
      <c r="H39" s="78">
        <v>60000000</v>
      </c>
      <c r="I39" s="78"/>
      <c r="J39" s="78"/>
      <c r="K39" s="78"/>
      <c r="L39" s="78"/>
      <c r="M39" s="78"/>
      <c r="N39" s="78"/>
      <c r="O39" s="79"/>
      <c r="P39" s="78"/>
      <c r="Q39" s="79"/>
    </row>
    <row r="40" spans="1:41" ht="51" customHeight="1" x14ac:dyDescent="0.25">
      <c r="A40" s="73" t="str">
        <f>+'2024'!A40</f>
        <v>1.1.3.3</v>
      </c>
      <c r="B40" s="73" t="str">
        <f>+'2024'!B40</f>
        <v>Desarrollar acciones para la conservación de especies amenazadas, endémicas y focales con y sin plan de manejo</v>
      </c>
      <c r="C40" s="73" t="str">
        <f>+'2024'!C40</f>
        <v>Número</v>
      </c>
      <c r="D40" s="73" t="str">
        <f>+'2024'!D40</f>
        <v># de especies amenazadas, endémicas y focales con acciones de conservación</v>
      </c>
      <c r="E40" s="75">
        <v>2</v>
      </c>
      <c r="F40" s="46">
        <f t="shared" si="9"/>
        <v>70000000</v>
      </c>
      <c r="G40" s="80"/>
      <c r="H40" s="78">
        <v>30000000</v>
      </c>
      <c r="I40" s="78">
        <v>40000000</v>
      </c>
      <c r="J40" s="78"/>
      <c r="K40" s="78"/>
      <c r="L40" s="78"/>
      <c r="M40" s="78"/>
      <c r="N40" s="78"/>
      <c r="O40" s="79"/>
      <c r="P40" s="78"/>
      <c r="Q40" s="79"/>
    </row>
    <row r="41" spans="1:41" ht="36" customHeight="1" x14ac:dyDescent="0.25">
      <c r="A41" s="73" t="str">
        <f>+'2024'!A41</f>
        <v>1.1.3.4</v>
      </c>
      <c r="B41" s="73" t="str">
        <f>+'2024'!B41</f>
        <v>Consolidar y operar la red de monitoreo de fauna silvestre en ecosistemas naturales y transformados</v>
      </c>
      <c r="C41" s="73" t="str">
        <f>+'2024'!C41</f>
        <v>Número</v>
      </c>
      <c r="D41" s="73" t="str">
        <f>+'2024'!D41</f>
        <v>Red de monitoreo de fauna operando</v>
      </c>
      <c r="E41" s="75">
        <v>1</v>
      </c>
      <c r="F41" s="46">
        <f t="shared" si="9"/>
        <v>70000000</v>
      </c>
      <c r="G41" s="80"/>
      <c r="H41" s="78">
        <v>35000000</v>
      </c>
      <c r="I41" s="78">
        <v>35000000</v>
      </c>
      <c r="J41" s="78"/>
      <c r="K41" s="78"/>
      <c r="L41" s="78"/>
      <c r="M41" s="78"/>
      <c r="N41" s="78"/>
      <c r="O41" s="79"/>
      <c r="P41" s="78"/>
      <c r="Q41" s="79"/>
    </row>
    <row r="42" spans="1:41" ht="61.5" customHeight="1" x14ac:dyDescent="0.25">
      <c r="A42" s="73" t="str">
        <f>+'2024'!A42</f>
        <v>1.1.3.5</v>
      </c>
      <c r="B42" s="73" t="str">
        <f>+'2024'!B42</f>
        <v>Desarrollar monitoreo de los animales liberados y rehabilitados en Corpocaldas</v>
      </c>
      <c r="C42" s="73" t="str">
        <f>+'2024'!C42</f>
        <v xml:space="preserve">Porcentaje </v>
      </c>
      <c r="D42" s="73" t="str">
        <f>+'2024'!D42</f>
        <v xml:space="preserve">% de individuos liberados con monitoreo </v>
      </c>
      <c r="E42" s="254">
        <v>3</v>
      </c>
      <c r="F42" s="46">
        <f t="shared" si="9"/>
        <v>90000000</v>
      </c>
      <c r="G42" s="80"/>
      <c r="H42" s="78">
        <v>60000000</v>
      </c>
      <c r="I42" s="78">
        <v>30000000</v>
      </c>
      <c r="J42" s="78"/>
      <c r="K42" s="78"/>
      <c r="L42" s="78"/>
      <c r="M42" s="78"/>
      <c r="N42" s="78"/>
      <c r="O42" s="79"/>
      <c r="P42" s="78"/>
      <c r="Q42" s="79"/>
    </row>
    <row r="43" spans="1:41" ht="45.75" customHeight="1" x14ac:dyDescent="0.25">
      <c r="A43" s="73" t="str">
        <f>+'2024'!A43</f>
        <v>1.1.3.6</v>
      </c>
      <c r="B43" s="73" t="str">
        <f>+'2024'!B43</f>
        <v>Atender los conflictos reportados por fauna</v>
      </c>
      <c r="C43" s="73" t="str">
        <f>+'2024'!C43</f>
        <v>Porcentaje</v>
      </c>
      <c r="D43" s="73" t="str">
        <f>+'2024'!D43</f>
        <v>% de conflictos atendidos</v>
      </c>
      <c r="E43" s="75">
        <v>100</v>
      </c>
      <c r="F43" s="46">
        <f t="shared" si="9"/>
        <v>80000000</v>
      </c>
      <c r="G43" s="80"/>
      <c r="H43" s="78">
        <v>80000000</v>
      </c>
      <c r="I43" s="78"/>
      <c r="J43" s="78"/>
      <c r="K43" s="78"/>
      <c r="L43" s="78"/>
      <c r="M43" s="78"/>
      <c r="N43" s="78"/>
      <c r="O43" s="79"/>
      <c r="P43" s="78"/>
      <c r="Q43" s="79"/>
    </row>
    <row r="44" spans="1:41" ht="58.5" customHeight="1" x14ac:dyDescent="0.25">
      <c r="A44" s="73" t="str">
        <f>+'2024'!A44</f>
        <v>1.1.3.7</v>
      </c>
      <c r="B44" s="73" t="str">
        <f>+'2024'!B44</f>
        <v xml:space="preserve">Desarrollar acciones para prevenir, controlar y manejar especies exóticas e invasoras de fauna con y sin plan de manejo </v>
      </c>
      <c r="C44" s="73" t="str">
        <f>+'2024'!C44</f>
        <v>Número</v>
      </c>
      <c r="D44" s="73" t="str">
        <f>+'2024'!D44</f>
        <v># de planes de manejo para especies exoticas invasoras y generadoras de conflicto de fauna implementados</v>
      </c>
      <c r="E44" s="75">
        <v>2</v>
      </c>
      <c r="F44" s="46">
        <f t="shared" si="9"/>
        <v>110000000</v>
      </c>
      <c r="G44" s="80"/>
      <c r="H44" s="78">
        <v>60000000</v>
      </c>
      <c r="I44" s="78">
        <v>50000000</v>
      </c>
      <c r="J44" s="78"/>
      <c r="K44" s="78"/>
      <c r="L44" s="78"/>
      <c r="M44" s="78"/>
      <c r="N44" s="78"/>
      <c r="O44" s="79"/>
      <c r="P44" s="78"/>
      <c r="Q44" s="79"/>
    </row>
    <row r="45" spans="1:41" s="55" customFormat="1" ht="32.1" customHeight="1" x14ac:dyDescent="0.25">
      <c r="A45" s="280" t="str">
        <f>+'2024'!A45</f>
        <v>PROGRAMA 1.2</v>
      </c>
      <c r="B45" s="280" t="str">
        <f>+'2024'!B45</f>
        <v>PLANIFICACIÓN Y ORDENAMIENTO DEL BIOTERRITORIO</v>
      </c>
      <c r="C45" s="280"/>
      <c r="D45" s="280"/>
      <c r="E45" s="56"/>
      <c r="F45" s="109">
        <f t="shared" si="9"/>
        <v>2833000000</v>
      </c>
      <c r="G45" s="108">
        <f t="shared" ref="G45:Q45" si="10">+G46+G56</f>
        <v>0</v>
      </c>
      <c r="H45" s="108">
        <f t="shared" si="10"/>
        <v>1963000000</v>
      </c>
      <c r="I45" s="108">
        <f t="shared" si="10"/>
        <v>870000000</v>
      </c>
      <c r="J45" s="108">
        <f t="shared" si="10"/>
        <v>0</v>
      </c>
      <c r="K45" s="108">
        <f t="shared" si="10"/>
        <v>0</v>
      </c>
      <c r="L45" s="108">
        <f t="shared" si="10"/>
        <v>0</v>
      </c>
      <c r="M45" s="108">
        <f t="shared" si="10"/>
        <v>0</v>
      </c>
      <c r="N45" s="108">
        <f t="shared" si="10"/>
        <v>0</v>
      </c>
      <c r="O45" s="108">
        <f t="shared" si="10"/>
        <v>0</v>
      </c>
      <c r="P45" s="108">
        <f t="shared" si="10"/>
        <v>0</v>
      </c>
      <c r="Q45" s="108">
        <f t="shared" si="10"/>
        <v>0</v>
      </c>
    </row>
    <row r="46" spans="1:41" s="89" customFormat="1" ht="36" customHeight="1" x14ac:dyDescent="0.25">
      <c r="A46" s="281" t="str">
        <f>+'2024'!A46</f>
        <v>PROYECTO 1.2.1</v>
      </c>
      <c r="B46" s="281" t="str">
        <f>+'2024'!B46</f>
        <v xml:space="preserve">Agua y ordenamiento del bioterritorio </v>
      </c>
      <c r="C46" s="283" t="str">
        <f>+'2024'!C46</f>
        <v>CODIGO DNP</v>
      </c>
      <c r="D46" s="281">
        <f>+'2024'!D46</f>
        <v>3203</v>
      </c>
      <c r="E46" s="105"/>
      <c r="F46" s="92">
        <f t="shared" si="9"/>
        <v>1357000000</v>
      </c>
      <c r="G46" s="106">
        <f t="shared" ref="G46:Q46" si="11">SUM(G48:G55)</f>
        <v>0</v>
      </c>
      <c r="H46" s="106">
        <f t="shared" si="11"/>
        <v>1157000000</v>
      </c>
      <c r="I46" s="106">
        <f t="shared" si="11"/>
        <v>200000000</v>
      </c>
      <c r="J46" s="106">
        <f t="shared" si="11"/>
        <v>0</v>
      </c>
      <c r="K46" s="106">
        <f t="shared" si="11"/>
        <v>0</v>
      </c>
      <c r="L46" s="106">
        <f t="shared" si="11"/>
        <v>0</v>
      </c>
      <c r="M46" s="106">
        <f t="shared" si="11"/>
        <v>0</v>
      </c>
      <c r="N46" s="106">
        <f t="shared" si="11"/>
        <v>0</v>
      </c>
      <c r="O46" s="106">
        <f t="shared" si="11"/>
        <v>0</v>
      </c>
      <c r="P46" s="106">
        <f t="shared" si="11"/>
        <v>0</v>
      </c>
      <c r="Q46" s="106">
        <f t="shared" si="11"/>
        <v>0</v>
      </c>
    </row>
    <row r="47" spans="1:41" s="70" customFormat="1" ht="30" x14ac:dyDescent="0.25">
      <c r="A47" s="282" t="str">
        <f>+'2024'!A47</f>
        <v>CODIGO</v>
      </c>
      <c r="B47" s="282" t="str">
        <f>+'2024'!B47</f>
        <v>ACCIONES 
(INFINITIVO)</v>
      </c>
      <c r="C47" s="282" t="str">
        <f>+'2024'!C47</f>
        <v>UNIDAD 
DE MEDIDA</v>
      </c>
      <c r="D47" s="282" t="str">
        <f>+'2024'!D47</f>
        <v>INDICADOR 
FÓRMULA</v>
      </c>
      <c r="E47" s="67" t="s">
        <v>391</v>
      </c>
      <c r="F47" s="69" t="s">
        <v>392</v>
      </c>
      <c r="G47" s="95"/>
      <c r="H47" s="110"/>
      <c r="I47" s="71"/>
      <c r="J47" s="71"/>
      <c r="K47" s="71"/>
      <c r="L47" s="71"/>
      <c r="M47" s="71"/>
      <c r="N47" s="71"/>
      <c r="O47" s="72"/>
      <c r="P47" s="71"/>
      <c r="Q47" s="72"/>
    </row>
    <row r="48" spans="1:41" ht="65.25" customHeight="1" x14ac:dyDescent="0.25">
      <c r="A48" s="73" t="str">
        <f>+'2024'!A48</f>
        <v>1.2.1.1</v>
      </c>
      <c r="B48" s="73" t="str">
        <f>+'2024'!B48</f>
        <v>Revisar y ajustar las determinantes ambientales para el ordenamiento territorial de acuerdo con las dinámicas normativas y las condiciones del bioterritorio</v>
      </c>
      <c r="C48" s="73" t="str">
        <f>+'2024'!C48</f>
        <v>Porcentaje</v>
      </c>
      <c r="D48" s="73" t="str">
        <f>+'2024'!D48</f>
        <v>% Determinantes ambientales revisadas y ajustadas</v>
      </c>
      <c r="E48" s="75">
        <v>100</v>
      </c>
      <c r="F48" s="46">
        <f t="shared" ref="F48:F56" si="12">SUM(G48:R48)</f>
        <v>83000000</v>
      </c>
      <c r="G48" s="80"/>
      <c r="H48" s="100">
        <v>83000000</v>
      </c>
      <c r="I48" s="78"/>
      <c r="J48" s="78"/>
      <c r="K48" s="78"/>
      <c r="L48" s="78"/>
      <c r="M48" s="78"/>
      <c r="N48" s="78"/>
      <c r="O48" s="79"/>
      <c r="P48" s="78"/>
      <c r="Q48" s="79"/>
    </row>
    <row r="49" spans="1:17" ht="30" x14ac:dyDescent="0.25">
      <c r="A49" s="73" t="str">
        <f>+'2024'!A49</f>
        <v>1.2.1.2</v>
      </c>
      <c r="B49" s="73" t="str">
        <f>+'2024'!B49</f>
        <v>Acotar rondas hidricas para corrientes priorizadas de Caldas</v>
      </c>
      <c r="C49" s="73" t="str">
        <f>+'2024'!C49</f>
        <v>Número</v>
      </c>
      <c r="D49" s="73" t="str">
        <f>+'2024'!D49</f>
        <v># corrientes acotadas</v>
      </c>
      <c r="E49" s="75">
        <v>1</v>
      </c>
      <c r="F49" s="46">
        <f t="shared" si="12"/>
        <v>230000000</v>
      </c>
      <c r="G49" s="80"/>
      <c r="H49" s="100">
        <v>130000000</v>
      </c>
      <c r="I49" s="78">
        <v>100000000</v>
      </c>
      <c r="J49" s="78"/>
      <c r="K49" s="78"/>
      <c r="L49" s="78"/>
      <c r="M49" s="78"/>
      <c r="N49" s="78"/>
      <c r="O49" s="79"/>
      <c r="P49" s="78"/>
      <c r="Q49" s="79"/>
    </row>
    <row r="50" spans="1:17" ht="54" customHeight="1" x14ac:dyDescent="0.25">
      <c r="A50" s="73" t="str">
        <f>+'2024'!A50</f>
        <v>1.2.1.3</v>
      </c>
      <c r="B50" s="73" t="str">
        <f>+'2024'!B50</f>
        <v>Realizar asistencia tecnica a las entidades territoriales en la incorporación de las determinantes ambientales en los instrumentos de Ordenamiento  Territorial</v>
      </c>
      <c r="C50" s="73" t="str">
        <f>+'2024'!C50</f>
        <v>Número</v>
      </c>
      <c r="D50" s="73" t="str">
        <f>+'2024'!D50</f>
        <v># de Entidafes territoriales acompañadas</v>
      </c>
      <c r="E50" s="111">
        <v>28</v>
      </c>
      <c r="F50" s="46">
        <f t="shared" si="12"/>
        <v>210000000</v>
      </c>
      <c r="G50" s="80"/>
      <c r="H50" s="100">
        <v>210000000</v>
      </c>
      <c r="I50" s="78"/>
      <c r="J50" s="78"/>
      <c r="K50" s="78"/>
      <c r="L50" s="78"/>
      <c r="M50" s="78"/>
      <c r="N50" s="78"/>
      <c r="O50" s="79"/>
      <c r="P50" s="78"/>
      <c r="Q50" s="79"/>
    </row>
    <row r="51" spans="1:17" ht="77.25" customHeight="1" x14ac:dyDescent="0.25">
      <c r="A51" s="73" t="str">
        <f>+'2024'!A51</f>
        <v>1.2.1.4</v>
      </c>
      <c r="B51" s="73" t="str">
        <f>+'2024'!B51</f>
        <v xml:space="preserve">Realizar seguimiento a la aplicación de las determinantes ambientales en el Ordenamiento Territorial
</v>
      </c>
      <c r="C51" s="73" t="str">
        <f>+'2024'!C51</f>
        <v>Número</v>
      </c>
      <c r="D51" s="73" t="str">
        <f>+'2024'!D51</f>
        <v># de Entidades territoriales con seguimiento a las determinantes ambientales</v>
      </c>
      <c r="E51" s="75">
        <v>27</v>
      </c>
      <c r="F51" s="46">
        <f t="shared" si="12"/>
        <v>110000000</v>
      </c>
      <c r="G51" s="80"/>
      <c r="H51" s="100">
        <v>110000000</v>
      </c>
      <c r="I51" s="78"/>
      <c r="J51" s="78"/>
      <c r="K51" s="78"/>
      <c r="L51" s="78"/>
      <c r="M51" s="78"/>
      <c r="N51" s="78"/>
      <c r="O51" s="79"/>
      <c r="P51" s="78"/>
      <c r="Q51" s="79"/>
    </row>
    <row r="52" spans="1:17" ht="36.75" customHeight="1" x14ac:dyDescent="0.25">
      <c r="A52" s="73" t="str">
        <f>+'2024'!A52</f>
        <v>1.2.1.5</v>
      </c>
      <c r="B52" s="73" t="str">
        <f>+'2024'!B52</f>
        <v>Declarar o ampliar áreas protegidas en el departamento de Caldas</v>
      </c>
      <c r="C52" s="73" t="str">
        <f>+'2024'!C52</f>
        <v>Número</v>
      </c>
      <c r="D52" s="73" t="str">
        <f>+'2024'!D52</f>
        <v># de áreas declaradas</v>
      </c>
      <c r="E52" s="75">
        <v>1</v>
      </c>
      <c r="F52" s="46">
        <f t="shared" si="12"/>
        <v>100000000</v>
      </c>
      <c r="G52" s="80"/>
      <c r="H52" s="100">
        <v>100000000</v>
      </c>
      <c r="I52" s="78"/>
      <c r="J52" s="78"/>
      <c r="K52" s="78"/>
      <c r="L52" s="78"/>
      <c r="M52" s="78"/>
      <c r="N52" s="78"/>
      <c r="O52" s="79"/>
      <c r="P52" s="78"/>
      <c r="Q52" s="79"/>
    </row>
    <row r="53" spans="1:17" ht="52.5" customHeight="1" x14ac:dyDescent="0.25">
      <c r="A53" s="73" t="str">
        <f>+'2024'!A53</f>
        <v>1.2.1.6</v>
      </c>
      <c r="B53" s="73" t="str">
        <f>+'2024'!B53</f>
        <v>Realizar inventario  de usuarios del recurso hídrico para el registro y/o legalizacion en subzonas hidrográficas priorizadas</v>
      </c>
      <c r="C53" s="73" t="str">
        <f>+'2024'!C53</f>
        <v>Número</v>
      </c>
      <c r="D53" s="73" t="str">
        <f>+'2024'!D53</f>
        <v># de usuarios registrados</v>
      </c>
      <c r="E53" s="75">
        <v>1000</v>
      </c>
      <c r="F53" s="76">
        <f t="shared" si="12"/>
        <v>400000000</v>
      </c>
      <c r="G53" s="77"/>
      <c r="H53" s="100">
        <v>300000000</v>
      </c>
      <c r="I53" s="78">
        <v>100000000</v>
      </c>
      <c r="J53" s="78"/>
      <c r="K53" s="78"/>
      <c r="L53" s="78"/>
      <c r="M53" s="78"/>
      <c r="N53" s="78"/>
      <c r="O53" s="79"/>
      <c r="P53" s="78"/>
      <c r="Q53" s="79"/>
    </row>
    <row r="54" spans="1:17" ht="35.25" customHeight="1" x14ac:dyDescent="0.25">
      <c r="A54" s="73" t="str">
        <f>+'2024'!A54</f>
        <v>1.2.1.7</v>
      </c>
      <c r="B54" s="73" t="str">
        <f>+'2024'!B54</f>
        <v xml:space="preserve">Diseñar herramientas de conservacción para la gestión y administración del recurso hídrico </v>
      </c>
      <c r="C54" s="73" t="str">
        <f>+'2024'!C54</f>
        <v>Número</v>
      </c>
      <c r="D54" s="73" t="str">
        <f>+'2024'!D54</f>
        <v># de herramientas diseñadas</v>
      </c>
      <c r="E54" s="75">
        <v>1</v>
      </c>
      <c r="F54" s="46">
        <f t="shared" si="12"/>
        <v>170000000</v>
      </c>
      <c r="G54" s="80"/>
      <c r="H54" s="100">
        <v>170000000</v>
      </c>
      <c r="I54" s="78"/>
      <c r="J54" s="78"/>
      <c r="K54" s="78"/>
      <c r="L54" s="78"/>
      <c r="M54" s="78"/>
      <c r="N54" s="78"/>
      <c r="O54" s="79"/>
      <c r="P54" s="78"/>
      <c r="Q54" s="79"/>
    </row>
    <row r="55" spans="1:17" ht="52.5" customHeight="1" x14ac:dyDescent="0.25">
      <c r="A55" s="73" t="str">
        <f>+'2024'!A55</f>
        <v>1.2.1.8</v>
      </c>
      <c r="B55" s="73" t="str">
        <f>+'2024'!B55</f>
        <v>Formular lineamientos para el desarrollo de turismo sostenible en áreas de la estructura ecológica principal</v>
      </c>
      <c r="C55" s="73" t="str">
        <f>+'2024'!C55</f>
        <v>Número</v>
      </c>
      <c r="D55" s="73" t="str">
        <f>+'2024'!D55</f>
        <v># de lineamientos formulados</v>
      </c>
      <c r="E55" s="75">
        <v>1</v>
      </c>
      <c r="F55" s="46">
        <f t="shared" si="12"/>
        <v>54000000</v>
      </c>
      <c r="G55" s="80"/>
      <c r="H55" s="100">
        <v>54000000</v>
      </c>
      <c r="I55" s="78"/>
      <c r="J55" s="78"/>
      <c r="K55" s="78"/>
      <c r="L55" s="78"/>
      <c r="M55" s="78"/>
      <c r="N55" s="78"/>
      <c r="O55" s="79"/>
      <c r="P55" s="78"/>
      <c r="Q55" s="79"/>
    </row>
    <row r="56" spans="1:17" s="89" customFormat="1" ht="36" customHeight="1" x14ac:dyDescent="0.25">
      <c r="A56" s="281" t="str">
        <f>+'2024'!A56</f>
        <v>PROYECTO 1.2.2</v>
      </c>
      <c r="B56" s="281" t="str">
        <f>+'2024'!B56</f>
        <v xml:space="preserve">Instrumentos de planificación, seguimiento y control ambiental del bioterritorio </v>
      </c>
      <c r="C56" s="283" t="str">
        <f>+'2024'!C56</f>
        <v>CODIGO DNP</v>
      </c>
      <c r="D56" s="281">
        <f>+'2024'!D56</f>
        <v>3205</v>
      </c>
      <c r="E56" s="105"/>
      <c r="F56" s="92">
        <f t="shared" si="12"/>
        <v>1476000000</v>
      </c>
      <c r="G56" s="106">
        <f t="shared" ref="G56:Q56" si="13">SUM(G58:G64)</f>
        <v>0</v>
      </c>
      <c r="H56" s="106">
        <f t="shared" si="13"/>
        <v>806000000</v>
      </c>
      <c r="I56" s="106">
        <f t="shared" si="13"/>
        <v>670000000</v>
      </c>
      <c r="J56" s="106">
        <f t="shared" si="13"/>
        <v>0</v>
      </c>
      <c r="K56" s="106">
        <f t="shared" si="13"/>
        <v>0</v>
      </c>
      <c r="L56" s="106">
        <f t="shared" si="13"/>
        <v>0</v>
      </c>
      <c r="M56" s="106">
        <f t="shared" si="13"/>
        <v>0</v>
      </c>
      <c r="N56" s="106">
        <f t="shared" si="13"/>
        <v>0</v>
      </c>
      <c r="O56" s="106">
        <f t="shared" si="13"/>
        <v>0</v>
      </c>
      <c r="P56" s="106">
        <f t="shared" si="13"/>
        <v>0</v>
      </c>
      <c r="Q56" s="106">
        <f t="shared" si="13"/>
        <v>0</v>
      </c>
    </row>
    <row r="57" spans="1:17" s="70" customFormat="1" ht="36.75" customHeight="1" x14ac:dyDescent="0.25">
      <c r="A57" s="155" t="str">
        <f>+'2024'!A57</f>
        <v>CODIGO</v>
      </c>
      <c r="B57" s="155" t="str">
        <f>+'2024'!B57</f>
        <v>ACCIONES 
(INFINITIVO)</v>
      </c>
      <c r="C57" s="155" t="str">
        <f>+'2024'!C57</f>
        <v>UNIDAD 
DE MEDIDA</v>
      </c>
      <c r="D57" s="155" t="str">
        <f>+'2024'!D57</f>
        <v>INDICADOR 
FÓRMULA</v>
      </c>
      <c r="E57" s="67" t="s">
        <v>391</v>
      </c>
      <c r="F57" s="69" t="s">
        <v>392</v>
      </c>
      <c r="G57" s="95"/>
      <c r="H57" s="110"/>
      <c r="I57" s="71"/>
      <c r="J57" s="71"/>
      <c r="K57" s="71"/>
      <c r="L57" s="71"/>
      <c r="M57" s="71"/>
      <c r="N57" s="71"/>
      <c r="O57" s="72"/>
      <c r="P57" s="71"/>
      <c r="Q57" s="72"/>
    </row>
    <row r="58" spans="1:17" ht="58.5" customHeight="1" x14ac:dyDescent="0.25">
      <c r="A58" s="73" t="str">
        <f>+'2024'!A58</f>
        <v>1.2.2.1</v>
      </c>
      <c r="B58" s="73" t="str">
        <f>+'2024'!B58</f>
        <v xml:space="preserve">Adoptar instrumentos de  planificación ambiental </v>
      </c>
      <c r="C58" s="73" t="str">
        <f>+'2024'!C58</f>
        <v>Número</v>
      </c>
      <c r="D58" s="73" t="str">
        <f>+'2024'!D58</f>
        <v># de planes adoptados</v>
      </c>
      <c r="E58" s="75">
        <v>8</v>
      </c>
      <c r="F58" s="46">
        <f t="shared" ref="F58:F67" si="14">SUM(G58:R58)</f>
        <v>0</v>
      </c>
      <c r="G58" s="80"/>
      <c r="H58" s="100"/>
      <c r="I58" s="78"/>
      <c r="J58" s="78"/>
      <c r="K58" s="78"/>
      <c r="L58" s="78"/>
      <c r="M58" s="78"/>
      <c r="N58" s="78"/>
      <c r="O58" s="79"/>
      <c r="P58" s="78"/>
      <c r="Q58" s="79"/>
    </row>
    <row r="59" spans="1:17" ht="58.5" customHeight="1" x14ac:dyDescent="0.25">
      <c r="A59" s="73" t="str">
        <f>+'2024'!A59</f>
        <v>1.2.2.2</v>
      </c>
      <c r="B59" s="73" t="str">
        <f>+'2024'!B59</f>
        <v xml:space="preserve">Formular o actualizar instrumentos de  planificación ambiental </v>
      </c>
      <c r="C59" s="73" t="str">
        <f>+'2024'!C59</f>
        <v>Número</v>
      </c>
      <c r="D59" s="73" t="str">
        <f>+'2024'!D59</f>
        <v># de planes formulados/actualizados</v>
      </c>
      <c r="E59" s="75">
        <v>5</v>
      </c>
      <c r="F59" s="46">
        <f t="shared" si="14"/>
        <v>1000000000</v>
      </c>
      <c r="G59" s="80"/>
      <c r="H59" s="100">
        <v>480000000</v>
      </c>
      <c r="I59" s="78">
        <v>520000000</v>
      </c>
      <c r="J59" s="78"/>
      <c r="K59" s="78"/>
      <c r="L59" s="78"/>
      <c r="M59" s="78"/>
      <c r="N59" s="78"/>
      <c r="O59" s="79"/>
      <c r="P59" s="78"/>
      <c r="Q59" s="79"/>
    </row>
    <row r="60" spans="1:17" ht="49.5" customHeight="1" x14ac:dyDescent="0.25">
      <c r="A60" s="73" t="str">
        <f>+'2024'!A60</f>
        <v>1.2.2.3</v>
      </c>
      <c r="B60" s="73" t="str">
        <f>+'2024'!B60</f>
        <v xml:space="preserve">Formular planes de acción de microcuencas abastecedoras de acueductos (ABACOS) </v>
      </c>
      <c r="C60" s="73" t="str">
        <f>+'2024'!C60</f>
        <v>Número</v>
      </c>
      <c r="D60" s="73" t="str">
        <f>+'2024'!D60</f>
        <v># planes de acción de microcuencas abastecedoras de acueductos (ABACOS) formulados</v>
      </c>
      <c r="E60" s="75">
        <v>15</v>
      </c>
      <c r="F60" s="46">
        <f t="shared" si="14"/>
        <v>150000000</v>
      </c>
      <c r="G60" s="80"/>
      <c r="H60" s="100"/>
      <c r="I60" s="78">
        <v>150000000</v>
      </c>
      <c r="J60" s="78"/>
      <c r="K60" s="78"/>
      <c r="L60" s="78"/>
      <c r="M60" s="78"/>
      <c r="N60" s="78"/>
      <c r="O60" s="79"/>
      <c r="P60" s="78"/>
      <c r="Q60" s="79"/>
    </row>
    <row r="61" spans="1:17" ht="62.25" customHeight="1" x14ac:dyDescent="0.25">
      <c r="A61" s="73" t="str">
        <f>+'2024'!A61</f>
        <v>1.2.2.4</v>
      </c>
      <c r="B61" s="73" t="str">
        <f>+'2024'!B61</f>
        <v>Evaluar la incorporación de las determinantes ambientales en el proceso de concertación ambiental de los instrumentos de ordenamiento territorial</v>
      </c>
      <c r="C61" s="73" t="str">
        <f>+'2024'!C61</f>
        <v>Porcentaje</v>
      </c>
      <c r="D61" s="73" t="str">
        <f>+'2024'!D61</f>
        <v>% de  Instrumentos de ordenamiento territorial evaluados</v>
      </c>
      <c r="E61" s="201">
        <v>100</v>
      </c>
      <c r="F61" s="46">
        <f t="shared" si="14"/>
        <v>118000000</v>
      </c>
      <c r="G61" s="80"/>
      <c r="H61" s="100">
        <v>118000000</v>
      </c>
      <c r="I61" s="78"/>
      <c r="J61" s="78"/>
      <c r="K61" s="78"/>
      <c r="L61" s="78"/>
      <c r="M61" s="78"/>
      <c r="N61" s="78"/>
      <c r="O61" s="79"/>
      <c r="P61" s="78"/>
      <c r="Q61" s="79"/>
    </row>
    <row r="62" spans="1:17" ht="51.75" customHeight="1" x14ac:dyDescent="0.25">
      <c r="A62" s="73" t="str">
        <f>+'2024'!A62</f>
        <v>1.2.2.5</v>
      </c>
      <c r="B62" s="73" t="str">
        <f>+'2024'!B62</f>
        <v>Apoyar a los entes territoriales en la   formulación y/o actualización de los Planes de Gestión Integral de Residuos Sólidos</v>
      </c>
      <c r="C62" s="73" t="str">
        <f>+'2024'!C62</f>
        <v>Número</v>
      </c>
      <c r="D62" s="73" t="str">
        <f>+'2024'!D62</f>
        <v># de entidades  territoriales apoyadas</v>
      </c>
      <c r="E62" s="201">
        <v>2</v>
      </c>
      <c r="F62" s="46">
        <f t="shared" si="14"/>
        <v>80000000</v>
      </c>
      <c r="G62" s="80"/>
      <c r="H62" s="100">
        <v>80000000</v>
      </c>
      <c r="I62" s="78"/>
      <c r="J62" s="78"/>
      <c r="K62" s="78"/>
      <c r="L62" s="78"/>
      <c r="M62" s="78"/>
      <c r="N62" s="78"/>
      <c r="O62" s="79"/>
      <c r="P62" s="78"/>
      <c r="Q62" s="79"/>
    </row>
    <row r="63" spans="1:17" ht="60" x14ac:dyDescent="0.25">
      <c r="A63" s="73" t="str">
        <f>+'2024'!A63</f>
        <v>1.2.2.6</v>
      </c>
      <c r="B63" s="73" t="str">
        <f>+'2024'!B63</f>
        <v>Seguimiento a la implementación de los instrumentos de planificación ambiental</v>
      </c>
      <c r="C63" s="73" t="str">
        <f>+'2024'!C63</f>
        <v>Número</v>
      </c>
      <c r="D63" s="73" t="str">
        <f>+'2024'!D63</f>
        <v># de instrumentos de planificación ambiental con seguimiento a la implementación</v>
      </c>
      <c r="E63" s="75">
        <v>16</v>
      </c>
      <c r="F63" s="46">
        <f t="shared" si="14"/>
        <v>128000000</v>
      </c>
      <c r="G63" s="80"/>
      <c r="H63" s="78">
        <v>128000000</v>
      </c>
      <c r="I63" s="78"/>
      <c r="J63" s="78"/>
      <c r="K63" s="78"/>
      <c r="L63" s="78"/>
      <c r="M63" s="78"/>
      <c r="N63" s="78"/>
      <c r="O63" s="79"/>
      <c r="P63" s="78"/>
      <c r="Q63" s="79"/>
    </row>
    <row r="64" spans="1:17" ht="75" x14ac:dyDescent="0.25">
      <c r="A64" s="73" t="str">
        <f>+'2024'!A64</f>
        <v>1.2.2.7</v>
      </c>
      <c r="B64" s="73" t="str">
        <f>+'2024'!B64</f>
        <v xml:space="preserve">Formular e implementar el Programa Institucional Regional de Monitoreo del Agua - PIRMA </v>
      </c>
      <c r="C64" s="73" t="str">
        <f>+'2024'!C64</f>
        <v>Número</v>
      </c>
      <c r="D64" s="73" t="str">
        <f>+'2024'!D64</f>
        <v>Programa Institucional Regional de Monitoreo del Agua - PIRMA formulado e implementado</v>
      </c>
      <c r="E64" s="75"/>
      <c r="F64" s="46">
        <f t="shared" si="14"/>
        <v>0</v>
      </c>
      <c r="G64" s="80"/>
      <c r="H64" s="78"/>
      <c r="I64" s="78"/>
      <c r="J64" s="78"/>
      <c r="K64" s="78"/>
      <c r="L64" s="78"/>
      <c r="M64" s="78"/>
      <c r="N64" s="78"/>
      <c r="O64" s="79"/>
      <c r="P64" s="78"/>
      <c r="Q64" s="79"/>
    </row>
    <row r="65" spans="1:17" s="50" customFormat="1" ht="15" x14ac:dyDescent="0.25">
      <c r="A65" s="49" t="str">
        <f>+'2024'!A65</f>
        <v>PILAR 2</v>
      </c>
      <c r="B65" s="49" t="str">
        <f>+'2024'!B65</f>
        <v>BIODESARROLLO SOSTENIBLE</v>
      </c>
      <c r="C65" s="366">
        <f>+'2024'!C65</f>
        <v>0</v>
      </c>
      <c r="D65" s="366">
        <f>+'2024'!D65</f>
        <v>0</v>
      </c>
      <c r="E65" s="51"/>
      <c r="F65" s="115">
        <f t="shared" si="14"/>
        <v>5015900000</v>
      </c>
      <c r="G65" s="114">
        <f t="shared" ref="G65:Q65" si="15">+G66+G83</f>
        <v>0</v>
      </c>
      <c r="H65" s="114">
        <f t="shared" si="15"/>
        <v>2835900000</v>
      </c>
      <c r="I65" s="114">
        <f t="shared" si="15"/>
        <v>2180000000</v>
      </c>
      <c r="J65" s="114">
        <f t="shared" si="15"/>
        <v>0</v>
      </c>
      <c r="K65" s="114">
        <f t="shared" si="15"/>
        <v>0</v>
      </c>
      <c r="L65" s="114">
        <f t="shared" si="15"/>
        <v>0</v>
      </c>
      <c r="M65" s="114">
        <f t="shared" si="15"/>
        <v>0</v>
      </c>
      <c r="N65" s="114">
        <f t="shared" si="15"/>
        <v>0</v>
      </c>
      <c r="O65" s="114">
        <f t="shared" si="15"/>
        <v>0</v>
      </c>
      <c r="P65" s="114">
        <f t="shared" si="15"/>
        <v>0</v>
      </c>
      <c r="Q65" s="114">
        <f t="shared" si="15"/>
        <v>0</v>
      </c>
    </row>
    <row r="66" spans="1:17" s="55" customFormat="1" ht="32.1" customHeight="1" x14ac:dyDescent="0.25">
      <c r="A66" s="54" t="str">
        <f>+'2024'!A66</f>
        <v>PROGRAMA 2.1</v>
      </c>
      <c r="B66" s="54" t="str">
        <f>+'2024'!B66</f>
        <v>RIESGOS AMBIENTALES Y CAMBIO CLIMÁTICO</v>
      </c>
      <c r="C66" s="365"/>
      <c r="D66" s="365"/>
      <c r="E66" s="56"/>
      <c r="F66" s="109">
        <f t="shared" si="14"/>
        <v>3585900000</v>
      </c>
      <c r="G66" s="108">
        <f t="shared" ref="G66:Q66" si="16">+G67+G76</f>
        <v>0</v>
      </c>
      <c r="H66" s="108">
        <f t="shared" si="16"/>
        <v>1775900000</v>
      </c>
      <c r="I66" s="108">
        <f t="shared" si="16"/>
        <v>1810000000</v>
      </c>
      <c r="J66" s="108">
        <f t="shared" si="16"/>
        <v>0</v>
      </c>
      <c r="K66" s="108">
        <f t="shared" si="16"/>
        <v>0</v>
      </c>
      <c r="L66" s="108">
        <f t="shared" si="16"/>
        <v>0</v>
      </c>
      <c r="M66" s="108">
        <f t="shared" si="16"/>
        <v>0</v>
      </c>
      <c r="N66" s="108">
        <f t="shared" si="16"/>
        <v>0</v>
      </c>
      <c r="O66" s="108">
        <f t="shared" si="16"/>
        <v>0</v>
      </c>
      <c r="P66" s="108">
        <f t="shared" si="16"/>
        <v>0</v>
      </c>
      <c r="Q66" s="108">
        <f t="shared" si="16"/>
        <v>0</v>
      </c>
    </row>
    <row r="67" spans="1:17" s="62" customFormat="1" ht="21" customHeight="1" x14ac:dyDescent="0.25">
      <c r="A67" s="281" t="str">
        <f>+'2024'!A67</f>
        <v>PROYECTO 2.1.1</v>
      </c>
      <c r="B67" s="281" t="str">
        <f>+'2024'!B67</f>
        <v>Gestión de riesgos ambientales</v>
      </c>
      <c r="C67" s="283" t="str">
        <f>+'2024'!C67</f>
        <v>CÓDIGO DNP</v>
      </c>
      <c r="D67" s="281">
        <f>+'2024'!D67</f>
        <v>3205</v>
      </c>
      <c r="E67" s="63"/>
      <c r="F67" s="92">
        <f t="shared" si="14"/>
        <v>3235900000</v>
      </c>
      <c r="G67" s="116">
        <f t="shared" ref="G67:Q67" si="17">SUM(G69:G75)</f>
        <v>0</v>
      </c>
      <c r="H67" s="116">
        <f t="shared" si="17"/>
        <v>1465900000</v>
      </c>
      <c r="I67" s="116">
        <f t="shared" si="17"/>
        <v>1770000000</v>
      </c>
      <c r="J67" s="116">
        <f t="shared" si="17"/>
        <v>0</v>
      </c>
      <c r="K67" s="116">
        <f t="shared" si="17"/>
        <v>0</v>
      </c>
      <c r="L67" s="116">
        <f t="shared" si="17"/>
        <v>0</v>
      </c>
      <c r="M67" s="116">
        <f t="shared" si="17"/>
        <v>0</v>
      </c>
      <c r="N67" s="116">
        <f t="shared" si="17"/>
        <v>0</v>
      </c>
      <c r="O67" s="116">
        <f t="shared" si="17"/>
        <v>0</v>
      </c>
      <c r="P67" s="116">
        <f t="shared" si="17"/>
        <v>0</v>
      </c>
      <c r="Q67" s="116">
        <f t="shared" si="17"/>
        <v>0</v>
      </c>
    </row>
    <row r="68" spans="1:17" s="70" customFormat="1" ht="38.25" customHeight="1" x14ac:dyDescent="0.25">
      <c r="A68" s="155" t="str">
        <f>+'2024'!A68</f>
        <v>CODIGO</v>
      </c>
      <c r="B68" s="155" t="str">
        <f>+'2024'!B68</f>
        <v>ACCIONES 
(INFINITIVO)</v>
      </c>
      <c r="C68" s="155" t="str">
        <f>+'2024'!C68</f>
        <v>UNIDAD 
DE MEDIDA</v>
      </c>
      <c r="D68" s="155" t="str">
        <f>+'2024'!D68</f>
        <v>INDICADOR 
FÓRMULA</v>
      </c>
      <c r="E68" s="68" t="s">
        <v>391</v>
      </c>
      <c r="F68" s="69" t="s">
        <v>392</v>
      </c>
      <c r="G68" s="95"/>
      <c r="H68" s="71"/>
      <c r="I68" s="71"/>
      <c r="J68" s="71"/>
      <c r="K68" s="71"/>
      <c r="L68" s="71"/>
      <c r="M68" s="71"/>
      <c r="N68" s="71"/>
      <c r="O68" s="72"/>
      <c r="P68" s="71"/>
      <c r="Q68" s="72"/>
    </row>
    <row r="69" spans="1:17" ht="48.75" customHeight="1" x14ac:dyDescent="0.25">
      <c r="A69" s="73" t="str">
        <f>+'2024'!A69</f>
        <v>2.1.1.1</v>
      </c>
      <c r="B69" s="73" t="str">
        <f>+'2024'!B69</f>
        <v xml:space="preserve">Implementar medidas estructurales (obras de ingeniería y Soluciones Basadas en la Naturaleza - SBN) para la reducción del riesgo de desastres </v>
      </c>
      <c r="C69" s="73" t="str">
        <f>+'2024'!C69</f>
        <v>Número</v>
      </c>
      <c r="D69" s="73" t="str">
        <f>+'2024'!D69</f>
        <v># de sitios intervenidos</v>
      </c>
      <c r="E69" s="78">
        <v>22</v>
      </c>
      <c r="F69" s="46">
        <f t="shared" ref="F69:F76" si="18">SUM(G69:R69)</f>
        <v>2500000000</v>
      </c>
      <c r="G69" s="117"/>
      <c r="H69" s="78">
        <v>1000000000</v>
      </c>
      <c r="I69" s="78">
        <v>1500000000</v>
      </c>
      <c r="J69" s="78"/>
      <c r="K69" s="78"/>
      <c r="L69" s="78"/>
      <c r="M69" s="78"/>
      <c r="N69" s="78"/>
      <c r="O69" s="79"/>
      <c r="P69" s="78"/>
      <c r="Q69" s="79"/>
    </row>
    <row r="70" spans="1:17" ht="48.75" customHeight="1" x14ac:dyDescent="0.25">
      <c r="A70" s="73" t="str">
        <f>+'2024'!A70</f>
        <v>2.1.1.2</v>
      </c>
      <c r="B70" s="73" t="str">
        <f>+'2024'!B70</f>
        <v>Desarrollar acciones comunitarias y sectoriales en torno a la gestión, conocimiento y reducción de riesgos ambientales en el territorio</v>
      </c>
      <c r="C70" s="73" t="str">
        <f>+'2024'!C70</f>
        <v>Número</v>
      </c>
      <c r="D70" s="73" t="str">
        <f>+'2024'!D70</f>
        <v xml:space="preserve"># de acciones realizadas en gestión del riesgo </v>
      </c>
      <c r="E70" s="78">
        <v>69</v>
      </c>
      <c r="F70" s="76">
        <f t="shared" si="18"/>
        <v>75900000</v>
      </c>
      <c r="G70" s="118"/>
      <c r="H70" s="78">
        <v>75900000</v>
      </c>
      <c r="I70" s="78"/>
      <c r="J70" s="78"/>
      <c r="K70" s="78"/>
      <c r="L70" s="78"/>
      <c r="M70" s="78"/>
      <c r="N70" s="78"/>
      <c r="O70" s="79"/>
      <c r="P70" s="78"/>
      <c r="Q70" s="79"/>
    </row>
    <row r="71" spans="1:17" ht="60.75" customHeight="1" x14ac:dyDescent="0.25">
      <c r="A71" s="73" t="str">
        <f>+'2024'!A71</f>
        <v>2.1.1.3</v>
      </c>
      <c r="B71" s="73" t="str">
        <f>+'2024'!B71</f>
        <v>Implementar medidas de manejo, remediación y recuperación ambiental desarrolladas en ecosistemas afectados por emergencias (considerando la guía de Evaluación de Daños Ambientales - EDANA)</v>
      </c>
      <c r="C71" s="73" t="str">
        <f>+'2024'!C71</f>
        <v>Número</v>
      </c>
      <c r="D71" s="73" t="str">
        <f>+'2024'!D71</f>
        <v># de sitios intervenidos</v>
      </c>
      <c r="E71" s="78">
        <v>1</v>
      </c>
      <c r="F71" s="76">
        <f t="shared" si="18"/>
        <v>140000000</v>
      </c>
      <c r="G71" s="118"/>
      <c r="H71" s="78">
        <v>50000000</v>
      </c>
      <c r="I71" s="78">
        <v>90000000</v>
      </c>
      <c r="J71" s="78"/>
      <c r="K71" s="78"/>
      <c r="L71" s="78"/>
      <c r="M71" s="78"/>
      <c r="N71" s="78"/>
      <c r="O71" s="79"/>
      <c r="P71" s="78"/>
      <c r="Q71" s="79"/>
    </row>
    <row r="72" spans="1:17" ht="58.5" customHeight="1" x14ac:dyDescent="0.25">
      <c r="A72" s="73" t="str">
        <f>+'2024'!A72</f>
        <v>2.1.1.4</v>
      </c>
      <c r="B72" s="73" t="str">
        <f>+'2024'!B72</f>
        <v>Generar y divulgar información y conocimiento sobre riesgos que afecten la oferta y disponibilidad del recurso hídrico, la calidad del aíre y ruido.</v>
      </c>
      <c r="C72" s="73" t="str">
        <f>+'2024'!C72</f>
        <v>Número</v>
      </c>
      <c r="D72" s="73" t="str">
        <f>+'2024'!D72</f>
        <v># de municipios informados</v>
      </c>
      <c r="E72" s="78">
        <v>27</v>
      </c>
      <c r="F72" s="46">
        <f t="shared" si="18"/>
        <v>80000000</v>
      </c>
      <c r="G72" s="119"/>
      <c r="H72" s="78">
        <v>80000000</v>
      </c>
      <c r="I72" s="78"/>
      <c r="J72" s="78"/>
      <c r="K72" s="78"/>
      <c r="L72" s="78"/>
      <c r="M72" s="78"/>
      <c r="N72" s="78"/>
      <c r="O72" s="79"/>
      <c r="P72" s="78"/>
      <c r="Q72" s="79"/>
    </row>
    <row r="73" spans="1:17" ht="99" customHeight="1" x14ac:dyDescent="0.25">
      <c r="A73" s="73" t="str">
        <f>+'2024'!A73</f>
        <v>2.1.1.5</v>
      </c>
      <c r="B73" s="73" t="str">
        <f>+'2024'!B73</f>
        <v xml:space="preserve">Implementar medidas para reducción del riesgo de la pérdida de biodiversidad y servicios ecosistemicos considerando los 5 motores de pérdida de biodiversidad: la deforestación; el cambio en el uso del suelo; la introducción de especies, la toxificación, eutrofización, desertificación; y el cambio climático. </v>
      </c>
      <c r="C73" s="73" t="str">
        <f>+'2024'!C73</f>
        <v>Número</v>
      </c>
      <c r="D73" s="73" t="str">
        <f>+'2024'!D73</f>
        <v># de medidas implementadas</v>
      </c>
      <c r="E73" s="78">
        <v>2</v>
      </c>
      <c r="F73" s="76">
        <f t="shared" si="18"/>
        <v>110000000</v>
      </c>
      <c r="G73" s="118"/>
      <c r="H73" s="78">
        <v>50000000</v>
      </c>
      <c r="I73" s="78">
        <v>60000000</v>
      </c>
      <c r="J73" s="78"/>
      <c r="K73" s="78"/>
      <c r="L73" s="78"/>
      <c r="M73" s="78"/>
      <c r="N73" s="78"/>
      <c r="O73" s="79"/>
      <c r="P73" s="78"/>
      <c r="Q73" s="79"/>
    </row>
    <row r="74" spans="1:17" ht="57.75" customHeight="1" x14ac:dyDescent="0.25">
      <c r="A74" s="73" t="str">
        <f>+'2024'!A74</f>
        <v>2.1.1.6</v>
      </c>
      <c r="B74" s="73" t="str">
        <f>+'2024'!B74</f>
        <v>Mantener las medidas de reducción del riesgo (Programa Guardianes)</v>
      </c>
      <c r="C74" s="73" t="str">
        <f>+'2024'!C74</f>
        <v>Número</v>
      </c>
      <c r="D74" s="73" t="str">
        <f>+'2024'!D74</f>
        <v># de programas implementados</v>
      </c>
      <c r="E74" s="78">
        <v>2</v>
      </c>
      <c r="F74" s="76">
        <f t="shared" si="18"/>
        <v>250000000</v>
      </c>
      <c r="G74" s="118"/>
      <c r="H74" s="78">
        <v>130000000</v>
      </c>
      <c r="I74" s="78">
        <v>120000000</v>
      </c>
      <c r="J74" s="78"/>
      <c r="K74" s="78"/>
      <c r="L74" s="78"/>
      <c r="M74" s="78"/>
      <c r="N74" s="78"/>
      <c r="O74" s="79"/>
      <c r="P74" s="78"/>
      <c r="Q74" s="79"/>
    </row>
    <row r="75" spans="1:17" ht="50.25" customHeight="1" x14ac:dyDescent="0.25">
      <c r="A75" s="73" t="str">
        <f>+'2024'!A75</f>
        <v>2.1.1.7</v>
      </c>
      <c r="B75" s="73" t="str">
        <f>+'2024'!B75</f>
        <v>Desarrollar estudios y diseños para el conocimiento de los diferentes riesgos ambientales del Departamento</v>
      </c>
      <c r="C75" s="73" t="str">
        <f>+'2024'!C75</f>
        <v>Número</v>
      </c>
      <c r="D75" s="73" t="str">
        <f>+'2024'!D75</f>
        <v># de proyectos realizados</v>
      </c>
      <c r="E75" s="78">
        <v>1</v>
      </c>
      <c r="F75" s="76">
        <f t="shared" si="18"/>
        <v>80000000</v>
      </c>
      <c r="G75" s="118"/>
      <c r="H75" s="78">
        <v>80000000</v>
      </c>
      <c r="I75" s="78"/>
      <c r="J75" s="78"/>
      <c r="K75" s="78"/>
      <c r="L75" s="78"/>
      <c r="M75" s="78"/>
      <c r="N75" s="78"/>
      <c r="O75" s="79"/>
      <c r="P75" s="78"/>
      <c r="Q75" s="79"/>
    </row>
    <row r="76" spans="1:17" s="62" customFormat="1" ht="39" customHeight="1" x14ac:dyDescent="0.25">
      <c r="A76" s="281" t="str">
        <f>+'2024'!A76</f>
        <v>PROYECTO 2.1.2</v>
      </c>
      <c r="B76" s="281" t="str">
        <f>+'2024'!B76</f>
        <v xml:space="preserve">Gestión para la adaptación y mitigación al cambio climático </v>
      </c>
      <c r="C76" s="283" t="str">
        <f>+'2024'!C76</f>
        <v>CÓDIGO DNP</v>
      </c>
      <c r="D76" s="281">
        <f>+'2024'!D76</f>
        <v>3206</v>
      </c>
      <c r="E76" s="63"/>
      <c r="F76" s="92">
        <f t="shared" si="18"/>
        <v>350000000</v>
      </c>
      <c r="G76" s="116">
        <f t="shared" ref="G76:Q76" si="19">SUM(G78:G82)</f>
        <v>0</v>
      </c>
      <c r="H76" s="116">
        <f t="shared" si="19"/>
        <v>310000000</v>
      </c>
      <c r="I76" s="116">
        <f t="shared" si="19"/>
        <v>40000000</v>
      </c>
      <c r="J76" s="116">
        <f t="shared" si="19"/>
        <v>0</v>
      </c>
      <c r="K76" s="116">
        <f t="shared" si="19"/>
        <v>0</v>
      </c>
      <c r="L76" s="116">
        <f t="shared" si="19"/>
        <v>0</v>
      </c>
      <c r="M76" s="116">
        <f t="shared" si="19"/>
        <v>0</v>
      </c>
      <c r="N76" s="116">
        <f t="shared" si="19"/>
        <v>0</v>
      </c>
      <c r="O76" s="116">
        <f t="shared" si="19"/>
        <v>0</v>
      </c>
      <c r="P76" s="116">
        <f t="shared" si="19"/>
        <v>0</v>
      </c>
      <c r="Q76" s="116">
        <f t="shared" si="19"/>
        <v>0</v>
      </c>
    </row>
    <row r="77" spans="1:17" s="70" customFormat="1" ht="32.25" customHeight="1" x14ac:dyDescent="0.25">
      <c r="A77" s="155" t="str">
        <f>+'2024'!A77</f>
        <v>CODIGO</v>
      </c>
      <c r="B77" s="155" t="str">
        <f>+'2024'!B77</f>
        <v>ACCIONES 
(INFINITIVO)</v>
      </c>
      <c r="C77" s="155" t="str">
        <f>+'2024'!C77</f>
        <v>UNIDAD 
DE MEDIDA</v>
      </c>
      <c r="D77" s="155" t="str">
        <f>+'2024'!D77</f>
        <v>INDICADOR 
FÓRMULA</v>
      </c>
      <c r="E77" s="67" t="s">
        <v>391</v>
      </c>
      <c r="F77" s="69" t="s">
        <v>392</v>
      </c>
      <c r="G77" s="95"/>
      <c r="H77" s="110"/>
      <c r="I77" s="71"/>
      <c r="J77" s="71"/>
      <c r="K77" s="71"/>
      <c r="L77" s="71"/>
      <c r="M77" s="71"/>
      <c r="N77" s="71"/>
      <c r="O77" s="72"/>
      <c r="P77" s="71"/>
      <c r="Q77" s="72"/>
    </row>
    <row r="78" spans="1:17" ht="50.25" customHeight="1" x14ac:dyDescent="0.25">
      <c r="A78" s="73" t="str">
        <f>+'2024'!A78</f>
        <v>2.1.2.1</v>
      </c>
      <c r="B78" s="73" t="str">
        <f>+'2024'!B78</f>
        <v xml:space="preserve">Impulsar a los sectores a la medición de huella de carbono </v>
      </c>
      <c r="C78" s="73" t="str">
        <f>+'2024'!C78</f>
        <v>Número</v>
      </c>
      <c r="D78" s="73" t="str">
        <f>+'2024'!D78</f>
        <v># de Empresas que miden huella de carbono/año</v>
      </c>
      <c r="E78" s="74">
        <v>5</v>
      </c>
      <c r="F78" s="46">
        <f t="shared" ref="F78:F84" si="20">SUM(G78:R78)</f>
        <v>50000000</v>
      </c>
      <c r="G78" s="80"/>
      <c r="H78" s="78">
        <v>50000000</v>
      </c>
      <c r="I78" s="78"/>
      <c r="J78" s="78"/>
      <c r="K78" s="78"/>
      <c r="L78" s="78"/>
      <c r="M78" s="78"/>
      <c r="N78" s="78"/>
      <c r="O78" s="79"/>
      <c r="P78" s="78"/>
      <c r="Q78" s="79"/>
    </row>
    <row r="79" spans="1:17" ht="30" x14ac:dyDescent="0.25">
      <c r="A79" s="73" t="str">
        <f>+'2024'!A79</f>
        <v>2.1.2.2</v>
      </c>
      <c r="B79" s="73" t="str">
        <f>+'2024'!B79</f>
        <v>Realizar acciones de reducción de Gases Efecto Invernadero - GEI en el sector ambiente</v>
      </c>
      <c r="C79" s="73" t="str">
        <f>+'2024'!C79</f>
        <v>Ton de CO2</v>
      </c>
      <c r="D79" s="73" t="str">
        <f>+'2024'!D79</f>
        <v>Ton CO2/año</v>
      </c>
      <c r="E79" s="74">
        <v>250</v>
      </c>
      <c r="F79" s="46">
        <f t="shared" si="20"/>
        <v>50000000</v>
      </c>
      <c r="G79" s="80"/>
      <c r="H79" s="78">
        <v>50000000</v>
      </c>
      <c r="I79" s="78"/>
      <c r="J79" s="78"/>
      <c r="K79" s="78"/>
      <c r="L79" s="78"/>
      <c r="M79" s="78"/>
      <c r="N79" s="78"/>
      <c r="O79" s="79"/>
      <c r="P79" s="78"/>
      <c r="Q79" s="79"/>
    </row>
    <row r="80" spans="1:17" s="107" customFormat="1" ht="51.75" customHeight="1" x14ac:dyDescent="0.25">
      <c r="A80" s="73" t="str">
        <f>+'2024'!A80</f>
        <v>2.1.2.3</v>
      </c>
      <c r="B80" s="73" t="str">
        <f>+'2024'!B80</f>
        <v>Implementar proyectos de forestería comunitaria con bonos de carbono</v>
      </c>
      <c r="C80" s="73" t="str">
        <f>+'2024'!C80</f>
        <v>Número</v>
      </c>
      <c r="D80" s="73" t="str">
        <f>+'2024'!D80</f>
        <v># de proyecto de forestería comunitaria</v>
      </c>
      <c r="E80" s="113">
        <v>1</v>
      </c>
      <c r="F80" s="121">
        <f t="shared" si="20"/>
        <v>100000000</v>
      </c>
      <c r="G80" s="120"/>
      <c r="H80" s="122">
        <v>100000000</v>
      </c>
      <c r="I80" s="122"/>
      <c r="J80" s="122"/>
      <c r="K80" s="122"/>
      <c r="L80" s="122"/>
      <c r="M80" s="122"/>
      <c r="N80" s="122"/>
      <c r="O80" s="123"/>
      <c r="P80" s="122"/>
      <c r="Q80" s="123"/>
    </row>
    <row r="81" spans="1:41" ht="89.25" customHeight="1" x14ac:dyDescent="0.25">
      <c r="A81" s="73" t="str">
        <f>+'2024'!A81</f>
        <v>2.1.2.4</v>
      </c>
      <c r="B81" s="73" t="str">
        <f>+'2024'!B81</f>
        <v>Implementar acciones climáticas asociadas al PIGCC en los municipios del departamento de Caldas</v>
      </c>
      <c r="C81" s="73" t="str">
        <f>+'2024'!C81</f>
        <v>Número</v>
      </c>
      <c r="D81" s="73" t="str">
        <f>+'2024'!D81</f>
        <v xml:space="preserve"># de acciones realizadas por Corpocaldas en el marco del PIGCC </v>
      </c>
      <c r="E81" s="74">
        <v>2</v>
      </c>
      <c r="F81" s="46">
        <f t="shared" si="20"/>
        <v>90000000</v>
      </c>
      <c r="G81" s="80"/>
      <c r="H81" s="78">
        <v>50000000</v>
      </c>
      <c r="I81" s="78">
        <v>40000000</v>
      </c>
      <c r="J81" s="78"/>
      <c r="K81" s="78"/>
      <c r="L81" s="78"/>
      <c r="M81" s="78"/>
      <c r="N81" s="78"/>
      <c r="O81" s="79"/>
      <c r="P81" s="78"/>
      <c r="Q81" s="79"/>
    </row>
    <row r="82" spans="1:41" s="107" customFormat="1" ht="111.75" customHeight="1" x14ac:dyDescent="0.25">
      <c r="A82" s="73" t="str">
        <f>+'2024'!A82</f>
        <v>2.1.2.5</v>
      </c>
      <c r="B82" s="73" t="str">
        <f>+'2024'!B82</f>
        <v>Realizar analisis de los efectos de la variabilidad y el cambio climático en el departamento, generando insumos para la toma de decisiones</v>
      </c>
      <c r="C82" s="73" t="str">
        <f>+'2024'!C82</f>
        <v>Número</v>
      </c>
      <c r="D82" s="73" t="str">
        <f>+'2024'!D82</f>
        <v># de analisis sobre los efectos de la variabilidad y el cambio climático en el departamento</v>
      </c>
      <c r="E82" s="113">
        <v>1</v>
      </c>
      <c r="F82" s="121">
        <f t="shared" si="20"/>
        <v>60000000</v>
      </c>
      <c r="G82" s="120"/>
      <c r="H82" s="122">
        <v>60000000</v>
      </c>
      <c r="I82" s="122"/>
      <c r="J82" s="122"/>
      <c r="K82" s="122"/>
      <c r="L82" s="122"/>
      <c r="M82" s="122"/>
      <c r="N82" s="122"/>
      <c r="O82" s="123"/>
      <c r="P82" s="122"/>
      <c r="Q82" s="123"/>
    </row>
    <row r="83" spans="1:41" s="55" customFormat="1" ht="32.1" customHeight="1" x14ac:dyDescent="0.25">
      <c r="A83" s="54" t="str">
        <f>+'2024'!A83</f>
        <v>PROGRAMA 2.2</v>
      </c>
      <c r="B83" s="54" t="str">
        <f>+'2024'!B83</f>
        <v>RESPONSABILIDAD AMBIENTAL SECTORIAL</v>
      </c>
      <c r="C83" s="365"/>
      <c r="D83" s="365"/>
      <c r="E83" s="56"/>
      <c r="F83" s="109">
        <f t="shared" si="20"/>
        <v>1430000000</v>
      </c>
      <c r="G83" s="108">
        <f t="shared" ref="G83:Q83" si="21">+G84+G91</f>
        <v>0</v>
      </c>
      <c r="H83" s="108">
        <f t="shared" si="21"/>
        <v>1060000000</v>
      </c>
      <c r="I83" s="108">
        <f t="shared" si="21"/>
        <v>370000000</v>
      </c>
      <c r="J83" s="108">
        <f t="shared" si="21"/>
        <v>0</v>
      </c>
      <c r="K83" s="108">
        <f t="shared" si="21"/>
        <v>0</v>
      </c>
      <c r="L83" s="108">
        <f t="shared" si="21"/>
        <v>0</v>
      </c>
      <c r="M83" s="108">
        <f t="shared" si="21"/>
        <v>0</v>
      </c>
      <c r="N83" s="108">
        <f t="shared" si="21"/>
        <v>0</v>
      </c>
      <c r="O83" s="108">
        <f t="shared" si="21"/>
        <v>0</v>
      </c>
      <c r="P83" s="108">
        <f t="shared" si="21"/>
        <v>0</v>
      </c>
      <c r="Q83" s="108">
        <f t="shared" si="21"/>
        <v>0</v>
      </c>
    </row>
    <row r="84" spans="1:41" s="62" customFormat="1" ht="23.25" customHeight="1" x14ac:dyDescent="0.25">
      <c r="A84" s="281" t="str">
        <f>+'2024'!A84</f>
        <v>PROYECTO 2.2.1</v>
      </c>
      <c r="B84" s="281" t="str">
        <f>+'2024'!B84</f>
        <v xml:space="preserve">Bioeconomía y sostenibilidad </v>
      </c>
      <c r="C84" s="283" t="str">
        <f>+'2024'!C84</f>
        <v>CÓDIGO DNP</v>
      </c>
      <c r="D84" s="281">
        <f>+'2024'!D84</f>
        <v>3201</v>
      </c>
      <c r="E84" s="63"/>
      <c r="F84" s="92">
        <f t="shared" si="20"/>
        <v>760000000</v>
      </c>
      <c r="G84" s="116">
        <f>SUM(G86:G89)</f>
        <v>0</v>
      </c>
      <c r="H84" s="116">
        <f>SUM(H86:H90)</f>
        <v>540000000</v>
      </c>
      <c r="I84" s="116">
        <f t="shared" ref="I84:Q84" si="22">SUM(I86:I90)</f>
        <v>220000000</v>
      </c>
      <c r="J84" s="116">
        <f t="shared" si="22"/>
        <v>0</v>
      </c>
      <c r="K84" s="116">
        <f t="shared" si="22"/>
        <v>0</v>
      </c>
      <c r="L84" s="116">
        <f t="shared" si="22"/>
        <v>0</v>
      </c>
      <c r="M84" s="116">
        <f t="shared" si="22"/>
        <v>0</v>
      </c>
      <c r="N84" s="116">
        <f t="shared" si="22"/>
        <v>0</v>
      </c>
      <c r="O84" s="116">
        <f t="shared" si="22"/>
        <v>0</v>
      </c>
      <c r="P84" s="116">
        <f t="shared" si="22"/>
        <v>0</v>
      </c>
      <c r="Q84" s="116">
        <f t="shared" si="22"/>
        <v>0</v>
      </c>
    </row>
    <row r="85" spans="1:41" s="70" customFormat="1" ht="30" x14ac:dyDescent="0.25">
      <c r="A85" s="155" t="str">
        <f>+'2024'!A85</f>
        <v>CODIGO</v>
      </c>
      <c r="B85" s="155" t="str">
        <f>+'2024'!B85</f>
        <v>ACCIONES 
(INFINITIVO)</v>
      </c>
      <c r="C85" s="155" t="str">
        <f>+'2024'!C85</f>
        <v>UNIDAD 
DE MEDIDA</v>
      </c>
      <c r="D85" s="155" t="str">
        <f>+'2024'!D85</f>
        <v>INDICADOR 
FÓRMULA</v>
      </c>
      <c r="E85" s="67" t="s">
        <v>391</v>
      </c>
      <c r="F85" s="69" t="s">
        <v>392</v>
      </c>
      <c r="G85" s="95"/>
      <c r="H85" s="110"/>
      <c r="I85" s="71"/>
      <c r="J85" s="71"/>
      <c r="K85" s="71"/>
      <c r="L85" s="71"/>
      <c r="M85" s="71"/>
      <c r="N85" s="71"/>
      <c r="O85" s="72"/>
      <c r="P85" s="71"/>
      <c r="Q85" s="72"/>
    </row>
    <row r="86" spans="1:41" ht="50.25" customHeight="1" x14ac:dyDescent="0.25">
      <c r="A86" s="73" t="str">
        <f>+'2024'!A86</f>
        <v>2.2.1.1</v>
      </c>
      <c r="B86" s="73" t="str">
        <f>+'2024'!B86</f>
        <v>Asistir técnicamente a los negocios verdes para su consolidación incluye verificación y asesoría</v>
      </c>
      <c r="C86" s="73" t="str">
        <f>+'2024'!C86</f>
        <v>Número</v>
      </c>
      <c r="D86" s="73" t="str">
        <f>+'2024'!D86</f>
        <v># de negocios verdes establecidos</v>
      </c>
      <c r="E86" s="75">
        <v>12</v>
      </c>
      <c r="F86" s="46">
        <f t="shared" ref="F86:F91" si="23">SUM(G86:R86)</f>
        <v>120000000</v>
      </c>
      <c r="G86" s="117"/>
      <c r="H86" s="78">
        <v>80000000</v>
      </c>
      <c r="I86" s="78">
        <v>40000000</v>
      </c>
      <c r="J86" s="78"/>
      <c r="K86" s="78"/>
      <c r="L86" s="78"/>
      <c r="M86" s="78"/>
      <c r="N86" s="78"/>
      <c r="O86" s="79"/>
      <c r="P86" s="78"/>
      <c r="Q86" s="79"/>
    </row>
    <row r="87" spans="1:41" ht="38.25" customHeight="1" x14ac:dyDescent="0.25">
      <c r="A87" s="73" t="str">
        <f>+'2024'!A87</f>
        <v>2.2.1.2</v>
      </c>
      <c r="B87" s="73" t="str">
        <f>+'2024'!B87</f>
        <v>Adelantar proyectos de Investigación Desarrollo e Innovación I+D+I en asuntos ambientales sectoriales</v>
      </c>
      <c r="C87" s="73" t="str">
        <f>+'2024'!C87</f>
        <v>Número</v>
      </c>
      <c r="D87" s="73" t="str">
        <f>+'2024'!D87</f>
        <v xml:space="preserve"># de proyectos de I+D+I </v>
      </c>
      <c r="E87" s="125">
        <v>1</v>
      </c>
      <c r="F87" s="46">
        <f t="shared" si="23"/>
        <v>100000000</v>
      </c>
      <c r="G87" s="119"/>
      <c r="H87" s="78">
        <v>100000000</v>
      </c>
      <c r="I87" s="78"/>
      <c r="J87" s="78"/>
      <c r="K87" s="78"/>
      <c r="L87" s="78"/>
      <c r="M87" s="78"/>
      <c r="N87" s="78"/>
      <c r="O87" s="79"/>
      <c r="P87" s="78"/>
      <c r="Q87" s="79"/>
    </row>
    <row r="88" spans="1:41" ht="38.25" customHeight="1" x14ac:dyDescent="0.25">
      <c r="A88" s="73" t="str">
        <f>+'2024'!A88</f>
        <v>2.2.1.3</v>
      </c>
      <c r="B88" s="73" t="str">
        <f>+'2024'!B88</f>
        <v xml:space="preserve">Apoyar la implementación de proyectos en el marco de los PGIRS </v>
      </c>
      <c r="C88" s="73" t="str">
        <f>+'2024'!C88</f>
        <v>Número</v>
      </c>
      <c r="D88" s="73" t="str">
        <f>+'2024'!D88</f>
        <v># de municipios acompañados</v>
      </c>
      <c r="E88" s="125">
        <v>2</v>
      </c>
      <c r="F88" s="46">
        <f t="shared" si="23"/>
        <v>130000000</v>
      </c>
      <c r="G88" s="119"/>
      <c r="H88" s="129">
        <v>130000000</v>
      </c>
      <c r="I88" s="129"/>
      <c r="J88" s="129"/>
      <c r="K88" s="129"/>
      <c r="L88" s="129"/>
      <c r="M88" s="129"/>
      <c r="N88" s="129"/>
      <c r="O88" s="130"/>
      <c r="P88" s="129"/>
      <c r="Q88" s="130"/>
    </row>
    <row r="89" spans="1:41" ht="30" x14ac:dyDescent="0.25">
      <c r="A89" s="73" t="str">
        <f>+'2024'!A89</f>
        <v>2.2.1.4</v>
      </c>
      <c r="B89" s="73" t="str">
        <f>+'2024'!B89</f>
        <v xml:space="preserve">Actualizar e implementar acciones de las agendas ambientales sectoriales </v>
      </c>
      <c r="C89" s="73" t="str">
        <f>+'2024'!C89</f>
        <v>Número</v>
      </c>
      <c r="D89" s="73" t="str">
        <f>+'2024'!D89</f>
        <v># de agendas gestionadas</v>
      </c>
      <c r="E89" s="127">
        <v>8</v>
      </c>
      <c r="F89" s="46">
        <f t="shared" si="23"/>
        <v>380000000</v>
      </c>
      <c r="G89" s="126"/>
      <c r="H89" s="39">
        <v>200000000</v>
      </c>
      <c r="I89" s="39">
        <v>180000000</v>
      </c>
      <c r="J89" s="39"/>
      <c r="K89" s="39"/>
      <c r="L89" s="39"/>
      <c r="M89" s="39"/>
      <c r="N89" s="39"/>
      <c r="O89" s="39"/>
      <c r="P89" s="39"/>
      <c r="Q89" s="39"/>
    </row>
    <row r="90" spans="1:41" ht="30" x14ac:dyDescent="0.25">
      <c r="A90" s="73" t="str">
        <f>+'2024'!A90</f>
        <v>2.2.1.5</v>
      </c>
      <c r="B90" s="73" t="str">
        <f>+'2024'!B90</f>
        <v>Apoyar la implementacion del Plan de Gestión Integral de Residuos Peligrosos - RESPEL</v>
      </c>
      <c r="C90" s="73" t="str">
        <f>+'2024'!C90</f>
        <v>Número</v>
      </c>
      <c r="D90" s="73" t="str">
        <f>+'2024'!D90</f>
        <v xml:space="preserve"># de acciones apoyadas </v>
      </c>
      <c r="E90" s="285">
        <v>1</v>
      </c>
      <c r="F90" s="46">
        <f t="shared" si="23"/>
        <v>30000000</v>
      </c>
      <c r="G90" s="126"/>
      <c r="H90" s="35">
        <v>30000000</v>
      </c>
    </row>
    <row r="91" spans="1:41" s="62" customFormat="1" ht="24" customHeight="1" x14ac:dyDescent="0.25">
      <c r="A91" s="281" t="str">
        <f>+'2024'!A91</f>
        <v>PROYECTO 2.2.2</v>
      </c>
      <c r="B91" s="281" t="str">
        <f>+'2024'!B91</f>
        <v>Convergencia e integración ambiental regional</v>
      </c>
      <c r="C91" s="283" t="str">
        <f>+'2024'!C91</f>
        <v>CÓDIGO DNP</v>
      </c>
      <c r="D91" s="281">
        <f>+'2024'!D91</f>
        <v>3201</v>
      </c>
      <c r="E91" s="63"/>
      <c r="F91" s="92">
        <f t="shared" si="23"/>
        <v>670000000</v>
      </c>
      <c r="G91" s="116">
        <f>SUM(G93:G95)</f>
        <v>0</v>
      </c>
      <c r="H91" s="116">
        <f>SUM(H93:H95)</f>
        <v>520000000</v>
      </c>
      <c r="I91" s="116">
        <f t="shared" ref="I91:AO91" si="24">SUM(I93:I95)</f>
        <v>150000000</v>
      </c>
      <c r="J91" s="116">
        <f t="shared" si="24"/>
        <v>0</v>
      </c>
      <c r="K91" s="116">
        <f t="shared" si="24"/>
        <v>0</v>
      </c>
      <c r="L91" s="116">
        <f t="shared" si="24"/>
        <v>0</v>
      </c>
      <c r="M91" s="116">
        <f t="shared" si="24"/>
        <v>0</v>
      </c>
      <c r="N91" s="116">
        <f t="shared" si="24"/>
        <v>0</v>
      </c>
      <c r="O91" s="116">
        <f t="shared" si="24"/>
        <v>0</v>
      </c>
      <c r="P91" s="116">
        <f t="shared" si="24"/>
        <v>0</v>
      </c>
      <c r="Q91" s="116">
        <f t="shared" si="24"/>
        <v>0</v>
      </c>
      <c r="R91" s="116">
        <f t="shared" si="24"/>
        <v>0</v>
      </c>
      <c r="S91" s="116">
        <f t="shared" si="24"/>
        <v>0</v>
      </c>
      <c r="T91" s="116">
        <f t="shared" si="24"/>
        <v>0</v>
      </c>
      <c r="U91" s="116">
        <f t="shared" si="24"/>
        <v>0</v>
      </c>
      <c r="V91" s="116">
        <f t="shared" si="24"/>
        <v>0</v>
      </c>
      <c r="W91" s="116">
        <f t="shared" si="24"/>
        <v>0</v>
      </c>
      <c r="X91" s="116">
        <f t="shared" si="24"/>
        <v>0</v>
      </c>
      <c r="Y91" s="116">
        <f t="shared" si="24"/>
        <v>0</v>
      </c>
      <c r="Z91" s="116">
        <f t="shared" si="24"/>
        <v>0</v>
      </c>
      <c r="AA91" s="116">
        <f t="shared" si="24"/>
        <v>0</v>
      </c>
      <c r="AB91" s="116">
        <f t="shared" si="24"/>
        <v>0</v>
      </c>
      <c r="AC91" s="116">
        <f t="shared" si="24"/>
        <v>0</v>
      </c>
      <c r="AD91" s="116">
        <f t="shared" si="24"/>
        <v>0</v>
      </c>
      <c r="AE91" s="116">
        <f t="shared" si="24"/>
        <v>0</v>
      </c>
      <c r="AF91" s="116">
        <f t="shared" si="24"/>
        <v>0</v>
      </c>
      <c r="AG91" s="116">
        <f t="shared" si="24"/>
        <v>0</v>
      </c>
      <c r="AH91" s="116">
        <f t="shared" si="24"/>
        <v>0</v>
      </c>
      <c r="AI91" s="116">
        <f t="shared" si="24"/>
        <v>0</v>
      </c>
      <c r="AJ91" s="116">
        <f t="shared" si="24"/>
        <v>0</v>
      </c>
      <c r="AK91" s="116">
        <f t="shared" si="24"/>
        <v>0</v>
      </c>
      <c r="AL91" s="116">
        <f t="shared" si="24"/>
        <v>0</v>
      </c>
      <c r="AM91" s="116">
        <f t="shared" si="24"/>
        <v>0</v>
      </c>
      <c r="AN91" s="116">
        <f t="shared" si="24"/>
        <v>0</v>
      </c>
      <c r="AO91" s="116">
        <f t="shared" si="24"/>
        <v>0</v>
      </c>
    </row>
    <row r="92" spans="1:41" s="70" customFormat="1" ht="39.75" customHeight="1" x14ac:dyDescent="0.25">
      <c r="A92" s="155" t="str">
        <f>+'2024'!A92</f>
        <v>CODIGO</v>
      </c>
      <c r="B92" s="155" t="str">
        <f>+'2024'!B92</f>
        <v>ACCIONES 
(INFINITIVO)</v>
      </c>
      <c r="C92" s="155" t="str">
        <f>+'2024'!C92</f>
        <v>UNIDAD 
DE MEDIDA</v>
      </c>
      <c r="D92" s="155" t="str">
        <f>+'2024'!D92</f>
        <v>INDICADOR 
FÓRMULA</v>
      </c>
      <c r="E92" s="67" t="s">
        <v>391</v>
      </c>
      <c r="F92" s="69" t="s">
        <v>392</v>
      </c>
      <c r="G92" s="95"/>
      <c r="H92" s="110"/>
      <c r="I92" s="71"/>
      <c r="J92" s="71"/>
      <c r="K92" s="71"/>
      <c r="L92" s="71"/>
      <c r="M92" s="71"/>
      <c r="N92" s="71"/>
      <c r="O92" s="72"/>
      <c r="P92" s="71"/>
      <c r="Q92" s="72"/>
    </row>
    <row r="93" spans="1:41" ht="54" customHeight="1" x14ac:dyDescent="0.25">
      <c r="A93" s="73" t="str">
        <f>+'2024'!A93</f>
        <v>2.2.2.1</v>
      </c>
      <c r="B93" s="73" t="str">
        <f>+'2024'!B93</f>
        <v xml:space="preserve">Apoyar la gestión del Programa de sostenibilidad del Paisaje Cultural Cafetero PCCC </v>
      </c>
      <c r="C93" s="73" t="str">
        <f>+'2024'!C93</f>
        <v>Número</v>
      </c>
      <c r="D93" s="73" t="str">
        <f>+'2024'!D93</f>
        <v># de acciones apoyadas</v>
      </c>
      <c r="E93" s="125">
        <v>1</v>
      </c>
      <c r="F93" s="46">
        <f>SUM(G93:R93)</f>
        <v>70000000</v>
      </c>
      <c r="G93" s="119"/>
      <c r="H93" s="78">
        <v>70000000</v>
      </c>
      <c r="I93" s="78"/>
      <c r="J93" s="78"/>
      <c r="K93" s="78"/>
      <c r="L93" s="78"/>
      <c r="M93" s="78"/>
      <c r="N93" s="78"/>
      <c r="O93" s="79"/>
      <c r="P93" s="78"/>
      <c r="Q93" s="79"/>
    </row>
    <row r="94" spans="1:41" ht="39" customHeight="1" x14ac:dyDescent="0.25">
      <c r="A94" s="73" t="str">
        <f>+'2024'!A94</f>
        <v>2.2.2.2</v>
      </c>
      <c r="B94" s="73" t="str">
        <f>+'2024'!B94</f>
        <v xml:space="preserve">Apoyar la Gestion de Plataformas colaborativas </v>
      </c>
      <c r="C94" s="73" t="str">
        <f>+'2024'!C94</f>
        <v>Número</v>
      </c>
      <c r="D94" s="73" t="str">
        <f>+'2024'!D94</f>
        <v># de Plataformas apoyadas</v>
      </c>
      <c r="E94" s="131">
        <v>4</v>
      </c>
      <c r="F94" s="46">
        <f>SUM(H94:AO94)</f>
        <v>450000000</v>
      </c>
      <c r="G94" s="132"/>
      <c r="H94" s="39">
        <v>300000000</v>
      </c>
      <c r="I94" s="39">
        <v>150000000</v>
      </c>
      <c r="J94" s="39"/>
      <c r="K94" s="39"/>
      <c r="L94" s="39"/>
      <c r="M94" s="39"/>
      <c r="N94" s="39"/>
      <c r="O94" s="39"/>
      <c r="P94" s="39"/>
      <c r="Q94" s="103"/>
      <c r="R94" s="10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</row>
    <row r="95" spans="1:41" ht="63.75" customHeight="1" x14ac:dyDescent="0.25">
      <c r="A95" s="73" t="str">
        <f>+'2024'!A95</f>
        <v>2.2.2.3</v>
      </c>
      <c r="B95" s="73" t="str">
        <f>+'2024'!B95</f>
        <v>Diseñar e implementar agenda de colaboración con instituciones de Educacion Superior y Centros/Institutos de Investigación</v>
      </c>
      <c r="C95" s="73" t="str">
        <f>+'2024'!C95</f>
        <v>Número</v>
      </c>
      <c r="D95" s="73" t="str">
        <f>+'2024'!D95</f>
        <v>Agendas Gestionada</v>
      </c>
      <c r="E95" s="131">
        <v>1</v>
      </c>
      <c r="F95" s="46">
        <f>SUM(H95:AO95)</f>
        <v>150000000</v>
      </c>
      <c r="G95" s="132"/>
      <c r="H95" s="39">
        <v>150000000</v>
      </c>
      <c r="I95" s="39"/>
      <c r="J95" s="39"/>
      <c r="K95" s="39"/>
      <c r="L95" s="39"/>
      <c r="M95" s="39"/>
      <c r="N95" s="39"/>
      <c r="O95" s="39"/>
      <c r="P95" s="39"/>
      <c r="Q95" s="103"/>
      <c r="R95" s="10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</row>
    <row r="96" spans="1:41" s="50" customFormat="1" ht="26.25" customHeight="1" x14ac:dyDescent="0.25">
      <c r="A96" s="49" t="str">
        <f>+'2024'!A96</f>
        <v>PILAR 3</v>
      </c>
      <c r="B96" s="49" t="str">
        <f>+'2024'!B96</f>
        <v>APROPIACIÓN DEL BIOTERRITORIO</v>
      </c>
      <c r="C96" s="366"/>
      <c r="D96" s="366"/>
      <c r="E96" s="51"/>
      <c r="F96" s="133">
        <f>SUM(G96:R96)</f>
        <v>9308311000</v>
      </c>
      <c r="G96" s="52">
        <f t="shared" ref="G96:Q96" si="25">+G97+G122</f>
        <v>0</v>
      </c>
      <c r="H96" s="52">
        <f t="shared" si="25"/>
        <v>6452894979</v>
      </c>
      <c r="I96" s="52">
        <f t="shared" si="25"/>
        <v>1024276021</v>
      </c>
      <c r="J96" s="52">
        <f t="shared" si="25"/>
        <v>255200000</v>
      </c>
      <c r="K96" s="52">
        <f t="shared" si="25"/>
        <v>100000000</v>
      </c>
      <c r="L96" s="52">
        <f t="shared" si="25"/>
        <v>970000000</v>
      </c>
      <c r="M96" s="52">
        <f t="shared" si="25"/>
        <v>4770000</v>
      </c>
      <c r="N96" s="52">
        <f t="shared" si="25"/>
        <v>4770000</v>
      </c>
      <c r="O96" s="52">
        <f t="shared" si="25"/>
        <v>266400000</v>
      </c>
      <c r="P96" s="52">
        <f t="shared" si="25"/>
        <v>230000000</v>
      </c>
      <c r="Q96" s="53">
        <f t="shared" si="25"/>
        <v>0</v>
      </c>
    </row>
    <row r="97" spans="1:17" s="55" customFormat="1" ht="32.1" customHeight="1" x14ac:dyDescent="0.25">
      <c r="A97" s="54" t="str">
        <f>+'2024'!A97</f>
        <v>PROGRAMA 3.1</v>
      </c>
      <c r="B97" s="54" t="str">
        <f>+'2024'!B97</f>
        <v>GOBERNABILIDAD DEL BIOTERRITORIO</v>
      </c>
      <c r="C97" s="365"/>
      <c r="D97" s="365"/>
      <c r="E97" s="56"/>
      <c r="F97" s="134">
        <f>SUM(G97:R97)</f>
        <v>4784034979</v>
      </c>
      <c r="G97" s="57">
        <f t="shared" ref="G97:Q97" si="26">+G98+G111+G115</f>
        <v>0</v>
      </c>
      <c r="H97" s="57">
        <f t="shared" si="26"/>
        <v>3382894979</v>
      </c>
      <c r="I97" s="57">
        <f t="shared" si="26"/>
        <v>0</v>
      </c>
      <c r="J97" s="57">
        <f t="shared" si="26"/>
        <v>255200000</v>
      </c>
      <c r="K97" s="57">
        <f t="shared" si="26"/>
        <v>0</v>
      </c>
      <c r="L97" s="57">
        <f t="shared" si="26"/>
        <v>670000000</v>
      </c>
      <c r="M97" s="57">
        <f t="shared" si="26"/>
        <v>4770000</v>
      </c>
      <c r="N97" s="57">
        <f t="shared" si="26"/>
        <v>4770000</v>
      </c>
      <c r="O97" s="57">
        <f t="shared" si="26"/>
        <v>266400000</v>
      </c>
      <c r="P97" s="57">
        <f t="shared" si="26"/>
        <v>200000000</v>
      </c>
      <c r="Q97" s="58">
        <f t="shared" si="26"/>
        <v>0</v>
      </c>
    </row>
    <row r="98" spans="1:17" s="62" customFormat="1" ht="15" x14ac:dyDescent="0.25">
      <c r="A98" s="281" t="str">
        <f>+'2024'!A98</f>
        <v>PROYECTO 3.1.1</v>
      </c>
      <c r="B98" s="281" t="str">
        <f>+'2024'!B98</f>
        <v>Autoridad ambiental del bioterritorio</v>
      </c>
      <c r="C98" s="283" t="str">
        <f>+'2024'!C98</f>
        <v>CÓDIGO DNP</v>
      </c>
      <c r="D98" s="281">
        <f>+'2024'!D98</f>
        <v>3201</v>
      </c>
      <c r="E98" s="63"/>
      <c r="F98" s="135">
        <f>SUM(G98:R98)</f>
        <v>3384034979</v>
      </c>
      <c r="G98" s="64">
        <f>SUM(G100:G110)</f>
        <v>0</v>
      </c>
      <c r="H98" s="64">
        <f t="shared" ref="H98:P98" si="27">SUM(H100:H110)</f>
        <v>2102894979</v>
      </c>
      <c r="I98" s="64">
        <f t="shared" si="27"/>
        <v>0</v>
      </c>
      <c r="J98" s="64">
        <f t="shared" si="27"/>
        <v>255200000</v>
      </c>
      <c r="K98" s="64">
        <f t="shared" si="27"/>
        <v>0</v>
      </c>
      <c r="L98" s="64">
        <f t="shared" si="27"/>
        <v>550000000</v>
      </c>
      <c r="M98" s="64">
        <f t="shared" si="27"/>
        <v>4770000</v>
      </c>
      <c r="N98" s="64">
        <f t="shared" si="27"/>
        <v>4770000</v>
      </c>
      <c r="O98" s="64">
        <f t="shared" si="27"/>
        <v>266400000</v>
      </c>
      <c r="P98" s="64">
        <f t="shared" si="27"/>
        <v>200000000</v>
      </c>
      <c r="Q98" s="65">
        <f>SUM(Q100:Q110)</f>
        <v>0</v>
      </c>
    </row>
    <row r="99" spans="1:17" s="70" customFormat="1" ht="30" x14ac:dyDescent="0.25">
      <c r="A99" s="155" t="str">
        <f>+'2024'!A99</f>
        <v>CODIGO</v>
      </c>
      <c r="B99" s="155" t="str">
        <f>+'2024'!B99</f>
        <v>ACCIONES 
(INFINITIVO)</v>
      </c>
      <c r="C99" s="155" t="str">
        <f>+'2024'!C99</f>
        <v>UNIDAD 
DE MEDIDA</v>
      </c>
      <c r="D99" s="155" t="str">
        <f>+'2024'!D99</f>
        <v>INDICADOR 
FÓRMULA</v>
      </c>
      <c r="E99" s="67" t="s">
        <v>391</v>
      </c>
      <c r="F99" s="69" t="s">
        <v>392</v>
      </c>
      <c r="G99" s="136"/>
      <c r="H99" s="137"/>
      <c r="I99" s="138"/>
      <c r="J99" s="138"/>
      <c r="K99" s="138"/>
      <c r="L99" s="138"/>
      <c r="M99" s="138"/>
      <c r="N99" s="138"/>
      <c r="O99" s="139"/>
      <c r="P99" s="138"/>
      <c r="Q99" s="139"/>
    </row>
    <row r="100" spans="1:17" ht="99" customHeight="1" x14ac:dyDescent="0.25">
      <c r="A100" s="73" t="str">
        <f>+'2024'!A100</f>
        <v>3.1.1.1</v>
      </c>
      <c r="B100" s="73" t="str">
        <f>+'2024'!B100</f>
        <v>Establecer los lineamientos generales y consolidar los criterios técnicos, que permitan fortalecer la objetividad, oportunidad y transparencia en los procesos de evaluación ambiental, contribuyendo al desarrollo sostenible del país</v>
      </c>
      <c r="C100" s="73" t="str">
        <f>+'2024'!C100</f>
        <v>Número</v>
      </c>
      <c r="D100" s="73" t="str">
        <f>+'2024'!D100</f>
        <v xml:space="preserve"># de documentos formulados y socializados </v>
      </c>
      <c r="E100" s="8">
        <v>16</v>
      </c>
      <c r="F100" s="46">
        <f t="shared" ref="F100:F111" si="28">SUM(G100:R100)</f>
        <v>0</v>
      </c>
      <c r="G100" s="80"/>
      <c r="H100" s="78"/>
      <c r="I100" s="78"/>
      <c r="J100" s="78"/>
      <c r="K100" s="78"/>
      <c r="L100" s="78"/>
      <c r="M100" s="78"/>
      <c r="N100" s="78"/>
      <c r="O100" s="79"/>
      <c r="P100" s="78"/>
      <c r="Q100" s="79"/>
    </row>
    <row r="101" spans="1:17" ht="55.5" customHeight="1" x14ac:dyDescent="0.25">
      <c r="A101" s="73" t="str">
        <f>+'2024'!A101</f>
        <v>3.1.1.2</v>
      </c>
      <c r="B101" s="73" t="str">
        <f>+'2024'!B101</f>
        <v>Implementar el funcionamiento de la plataforma de recepción de trámites ambientales en linea a través de la página web de la entidad</v>
      </c>
      <c r="C101" s="73" t="str">
        <f>+'2024'!C101</f>
        <v>Numero</v>
      </c>
      <c r="D101" s="73" t="str">
        <f>+'2024'!D101</f>
        <v xml:space="preserve"># de trámites en linea </v>
      </c>
      <c r="E101" s="8">
        <v>2</v>
      </c>
      <c r="F101" s="46">
        <f t="shared" si="28"/>
        <v>0</v>
      </c>
      <c r="G101" s="80"/>
      <c r="H101" s="78"/>
      <c r="I101" s="78"/>
      <c r="J101" s="78"/>
      <c r="K101" s="78"/>
      <c r="L101" s="78"/>
      <c r="M101" s="78"/>
      <c r="N101" s="78"/>
      <c r="O101" s="79"/>
      <c r="P101" s="78"/>
      <c r="Q101" s="79"/>
    </row>
    <row r="102" spans="1:17" ht="66" customHeight="1" x14ac:dyDescent="0.25">
      <c r="A102" s="73" t="str">
        <f>+'2024'!A102</f>
        <v>3.1.1.3</v>
      </c>
      <c r="B102" s="73" t="str">
        <f>+'2024'!B102</f>
        <v>Actualizar las tablas de cobro e implementar metodos de  Autoliquidacion de tramites sujetos a pago y pago en linea</v>
      </c>
      <c r="C102" s="73" t="str">
        <f>+'2024'!C102</f>
        <v>Número</v>
      </c>
      <c r="D102" s="73" t="str">
        <f>+'2024'!D102</f>
        <v xml:space="preserve"># pagos de tramites en linea con autoliquidación </v>
      </c>
      <c r="E102" s="8">
        <v>4</v>
      </c>
      <c r="F102" s="46">
        <f t="shared" si="28"/>
        <v>0</v>
      </c>
      <c r="G102" s="80"/>
      <c r="H102" s="78"/>
      <c r="I102" s="78"/>
      <c r="J102" s="78"/>
      <c r="K102" s="78"/>
      <c r="L102" s="78"/>
      <c r="M102" s="78"/>
      <c r="N102" s="78"/>
      <c r="O102" s="79"/>
      <c r="P102" s="78"/>
      <c r="Q102" s="79"/>
    </row>
    <row r="103" spans="1:17" ht="72.75" customHeight="1" x14ac:dyDescent="0.25">
      <c r="A103" s="73" t="str">
        <f>+'2024'!A103</f>
        <v>3.1.1.4</v>
      </c>
      <c r="B103" s="73" t="str">
        <f>+'2024'!B103</f>
        <v>Cargar y validar la información geografica de expedientes activos en los sistemas de información de la entidad - Licenciamiento ambiental</v>
      </c>
      <c r="C103" s="73" t="str">
        <f>+'2024'!C103</f>
        <v>Número</v>
      </c>
      <c r="D103" s="73" t="str">
        <f>+'2024'!D103</f>
        <v># de expedientes con informaicón geográfica cargada y validada</v>
      </c>
      <c r="E103" s="8">
        <v>50</v>
      </c>
      <c r="F103" s="46">
        <f t="shared" si="28"/>
        <v>0</v>
      </c>
      <c r="G103" s="80"/>
      <c r="H103" s="78"/>
      <c r="I103" s="78"/>
      <c r="J103" s="78"/>
      <c r="K103" s="78"/>
      <c r="L103" s="78"/>
      <c r="M103" s="78"/>
      <c r="N103" s="78"/>
      <c r="O103" s="79"/>
      <c r="P103" s="78"/>
      <c r="Q103" s="79"/>
    </row>
    <row r="104" spans="1:17" ht="45" x14ac:dyDescent="0.25">
      <c r="A104" s="73" t="str">
        <f>+'2024'!A104</f>
        <v>3.1.1.5</v>
      </c>
      <c r="B104" s="73" t="str">
        <f>+'2024'!B104</f>
        <v>Evaluar las solicitudes de permisos y licencias ambientales  en los tiempos establecidos en la normatividad ambiental vigente.</v>
      </c>
      <c r="C104" s="73" t="str">
        <f>+'2024'!C104</f>
        <v>Número</v>
      </c>
      <c r="D104" s="73" t="str">
        <f>+'2024'!D104</f>
        <v xml:space="preserve"># de tramites resueltos con el cumplimiento de tiempos de norma </v>
      </c>
      <c r="E104" s="271">
        <v>293</v>
      </c>
      <c r="F104" s="46">
        <f t="shared" si="28"/>
        <v>634647600</v>
      </c>
      <c r="G104" s="80"/>
      <c r="H104" s="78">
        <v>108277600</v>
      </c>
      <c r="I104" s="78"/>
      <c r="J104" s="78">
        <v>255200000</v>
      </c>
      <c r="K104" s="78"/>
      <c r="L104" s="78"/>
      <c r="M104" s="78">
        <v>4770000</v>
      </c>
      <c r="N104" s="78"/>
      <c r="O104" s="79">
        <v>266400000</v>
      </c>
      <c r="P104" s="78"/>
      <c r="Q104" s="79"/>
    </row>
    <row r="105" spans="1:17" ht="48.75" customHeight="1" x14ac:dyDescent="0.25">
      <c r="A105" s="73" t="str">
        <f>+'2024'!A105</f>
        <v>3.1.1.6</v>
      </c>
      <c r="B105" s="73" t="str">
        <f>+'2024'!B105</f>
        <v>Resolver técnicamente los diferentes trámites y permisos que se tienen como pasivos con corte a vigencia 2023</v>
      </c>
      <c r="C105" s="73" t="str">
        <f>+'2024'!C105</f>
        <v>Número</v>
      </c>
      <c r="D105" s="73" t="str">
        <f>+'2024'!D105</f>
        <v># de pasivos resueltos</v>
      </c>
      <c r="E105" s="8">
        <v>255</v>
      </c>
      <c r="F105" s="46">
        <f t="shared" si="28"/>
        <v>174613910</v>
      </c>
      <c r="G105" s="80"/>
      <c r="H105" s="78">
        <v>174613910</v>
      </c>
      <c r="I105" s="78"/>
      <c r="J105" s="78"/>
      <c r="K105" s="78"/>
      <c r="L105" s="78"/>
      <c r="M105" s="78"/>
      <c r="N105" s="78"/>
      <c r="O105" s="79"/>
      <c r="P105" s="78"/>
      <c r="Q105" s="79"/>
    </row>
    <row r="106" spans="1:17" ht="55.5" customHeight="1" x14ac:dyDescent="0.25">
      <c r="A106" s="73" t="str">
        <f>+'2024'!A106</f>
        <v>3.1.1.7</v>
      </c>
      <c r="B106" s="73" t="str">
        <f>+'2024'!B106</f>
        <v>Realizar cobertura del seguimiento (Documental, con visita o espacial) a los expedientes activos para cada uno de los trámites competencia de la entidad.</v>
      </c>
      <c r="C106" s="73" t="str">
        <f>+'2024'!C106</f>
        <v>Número</v>
      </c>
      <c r="D106" s="73" t="str">
        <f>+'2024'!D106</f>
        <v xml:space="preserve"># de seguimientos </v>
      </c>
      <c r="E106" s="271">
        <v>1138</v>
      </c>
      <c r="F106" s="46">
        <f t="shared" si="28"/>
        <v>804627453</v>
      </c>
      <c r="G106" s="80"/>
      <c r="H106" s="78">
        <v>504627453</v>
      </c>
      <c r="I106" s="78"/>
      <c r="J106" s="78"/>
      <c r="K106" s="78"/>
      <c r="L106" s="78">
        <v>300000000</v>
      </c>
      <c r="M106" s="78"/>
      <c r="N106" s="78"/>
      <c r="O106" s="79"/>
      <c r="P106" s="78"/>
      <c r="Q106" s="79"/>
    </row>
    <row r="107" spans="1:17" ht="64.5" customHeight="1" x14ac:dyDescent="0.25">
      <c r="A107" s="73" t="str">
        <f>+'2024'!A107</f>
        <v>3.1.1.8</v>
      </c>
      <c r="B107" s="73" t="str">
        <f>+'2024'!B107</f>
        <v>Realizar el seguimiento, control y monitoreo a los recursos naturales, frente a la atención de PQRs y/o acciones preventivas</v>
      </c>
      <c r="C107" s="73" t="str">
        <f>+'2024'!C107</f>
        <v>Número</v>
      </c>
      <c r="D107" s="73" t="str">
        <f>+'2024'!D107</f>
        <v># de seguimientos de control y monitoreo</v>
      </c>
      <c r="E107" s="8">
        <v>1000</v>
      </c>
      <c r="F107" s="46">
        <f t="shared" si="28"/>
        <v>938400000</v>
      </c>
      <c r="G107" s="80"/>
      <c r="H107" s="78">
        <v>688400000</v>
      </c>
      <c r="I107" s="78"/>
      <c r="J107" s="78"/>
      <c r="K107" s="78"/>
      <c r="L107" s="78">
        <v>250000000</v>
      </c>
      <c r="M107" s="78"/>
      <c r="N107" s="78"/>
      <c r="O107" s="79"/>
      <c r="P107" s="78"/>
      <c r="Q107" s="79"/>
    </row>
    <row r="108" spans="1:17" ht="75" customHeight="1" x14ac:dyDescent="0.25">
      <c r="A108" s="73" t="str">
        <f>+'2024'!A108</f>
        <v>3.1.1.9</v>
      </c>
      <c r="B108" s="73" t="str">
        <f>+'2024'!B108</f>
        <v>Gestionar el proceso de cierre de procesos sancionatorios y permisos en el marco del seguimiento a trámites y permisos competencia de la entidad con vigencia al 2023</v>
      </c>
      <c r="C108" s="73" t="str">
        <f>+'2024'!C108</f>
        <v>Número</v>
      </c>
      <c r="D108" s="73" t="str">
        <f>+'2024'!D108</f>
        <v>Cantidad de sancionatorios y trámites cerrados</v>
      </c>
      <c r="E108" s="8">
        <v>800</v>
      </c>
      <c r="F108" s="46">
        <f t="shared" si="28"/>
        <v>424287600</v>
      </c>
      <c r="G108" s="80"/>
      <c r="H108" s="78">
        <v>424287600</v>
      </c>
      <c r="I108" s="78"/>
      <c r="J108" s="78"/>
      <c r="K108" s="78"/>
      <c r="L108" s="78"/>
      <c r="M108" s="78"/>
      <c r="N108" s="78"/>
      <c r="O108" s="79"/>
      <c r="P108" s="78"/>
      <c r="Q108" s="79"/>
    </row>
    <row r="109" spans="1:17" ht="48" customHeight="1" x14ac:dyDescent="0.25">
      <c r="A109" s="73" t="str">
        <f>+'2024'!A109</f>
        <v>3.1.1.10</v>
      </c>
      <c r="B109" s="73" t="str">
        <f>+'2024'!B109</f>
        <v>Impulsar juridicamente los procesos sancionatorios recibidos en la vigencia</v>
      </c>
      <c r="C109" s="73" t="str">
        <f>+'2024'!C109</f>
        <v>Porcentaje</v>
      </c>
      <c r="D109" s="73" t="str">
        <f>+'2024'!D109</f>
        <v> % de procesos sancionatorios de la vigencia atendidos</v>
      </c>
      <c r="E109" s="8">
        <v>100</v>
      </c>
      <c r="F109" s="46">
        <f t="shared" si="28"/>
        <v>250000000</v>
      </c>
      <c r="G109" s="80"/>
      <c r="H109" s="78">
        <v>45230000</v>
      </c>
      <c r="I109" s="78"/>
      <c r="J109" s="78"/>
      <c r="K109" s="78"/>
      <c r="L109" s="78"/>
      <c r="M109" s="78"/>
      <c r="N109" s="78">
        <v>4770000</v>
      </c>
      <c r="O109" s="79"/>
      <c r="P109" s="78">
        <v>200000000</v>
      </c>
      <c r="Q109" s="79"/>
    </row>
    <row r="110" spans="1:17" ht="62.25" customHeight="1" x14ac:dyDescent="0.25">
      <c r="A110" s="73" t="str">
        <f>+'2024'!A110</f>
        <v>3.1.1.11</v>
      </c>
      <c r="B110" s="73" t="str">
        <f>+'2024'!B110</f>
        <v>Gestión jurídica a los trámites y/o permisos ambientales priorizados en la entidad</v>
      </c>
      <c r="C110" s="73" t="str">
        <f>+'2024'!C110</f>
        <v>Porcentaje</v>
      </c>
      <c r="D110" s="73" t="str">
        <f>+'2024'!D110</f>
        <v>% de tramites y/o permisos ambientales atendidos</v>
      </c>
      <c r="E110" s="8">
        <v>100</v>
      </c>
      <c r="F110" s="46">
        <f t="shared" si="28"/>
        <v>157458416</v>
      </c>
      <c r="G110" s="80"/>
      <c r="H110" s="78">
        <v>157458416</v>
      </c>
      <c r="I110" s="78"/>
      <c r="J110" s="78"/>
      <c r="K110" s="78"/>
      <c r="L110" s="78"/>
      <c r="M110" s="78"/>
      <c r="N110" s="78"/>
      <c r="O110" s="79"/>
      <c r="P110" s="78"/>
      <c r="Q110" s="79"/>
    </row>
    <row r="111" spans="1:17" s="62" customFormat="1" ht="15" x14ac:dyDescent="0.25">
      <c r="A111" s="281" t="str">
        <f>+'2024'!A111</f>
        <v>PROYECTO 3.1.2</v>
      </c>
      <c r="B111" s="281" t="str">
        <f>+'2024'!B111</f>
        <v>Gestión financiera</v>
      </c>
      <c r="C111" s="283" t="str">
        <f>+'2024'!C111</f>
        <v>CODIGO DNP</v>
      </c>
      <c r="D111" s="281">
        <f>+'2024'!D111</f>
        <v>3299</v>
      </c>
      <c r="E111" s="61"/>
      <c r="F111" s="92">
        <f t="shared" si="28"/>
        <v>180000000</v>
      </c>
      <c r="G111" s="140">
        <f t="shared" ref="G111:Q111" si="29">SUM(G113:G114)</f>
        <v>0</v>
      </c>
      <c r="H111" s="140">
        <f t="shared" si="29"/>
        <v>180000000</v>
      </c>
      <c r="I111" s="140">
        <f t="shared" si="29"/>
        <v>0</v>
      </c>
      <c r="J111" s="140">
        <f t="shared" si="29"/>
        <v>0</v>
      </c>
      <c r="K111" s="140">
        <f t="shared" si="29"/>
        <v>0</v>
      </c>
      <c r="L111" s="140">
        <f t="shared" si="29"/>
        <v>0</v>
      </c>
      <c r="M111" s="140">
        <f t="shared" si="29"/>
        <v>0</v>
      </c>
      <c r="N111" s="140">
        <f t="shared" si="29"/>
        <v>0</v>
      </c>
      <c r="O111" s="140">
        <f t="shared" si="29"/>
        <v>0</v>
      </c>
      <c r="P111" s="140">
        <f t="shared" si="29"/>
        <v>0</v>
      </c>
      <c r="Q111" s="141">
        <f t="shared" si="29"/>
        <v>0</v>
      </c>
    </row>
    <row r="112" spans="1:17" s="70" customFormat="1" ht="51.75" customHeight="1" x14ac:dyDescent="0.25">
      <c r="A112" s="155" t="str">
        <f>+'2024'!A112</f>
        <v>CODIGO</v>
      </c>
      <c r="B112" s="155" t="str">
        <f>+'2024'!B112</f>
        <v>ACCIONES 
(INFINITIVO)</v>
      </c>
      <c r="C112" s="155" t="str">
        <f>+'2024'!C112</f>
        <v>UNIDAD 
DE MEDIDA</v>
      </c>
      <c r="D112" s="155" t="str">
        <f>+'2024'!D112</f>
        <v>INDICADOR 
FÓRMULA</v>
      </c>
      <c r="E112" s="67" t="s">
        <v>391</v>
      </c>
      <c r="F112" s="69" t="s">
        <v>392</v>
      </c>
      <c r="G112" s="95"/>
      <c r="H112" s="110"/>
      <c r="I112" s="71"/>
      <c r="J112" s="71"/>
      <c r="K112" s="71"/>
      <c r="L112" s="71"/>
      <c r="M112" s="71"/>
      <c r="N112" s="71"/>
      <c r="O112" s="72"/>
      <c r="P112" s="71"/>
      <c r="Q112" s="72"/>
    </row>
    <row r="113" spans="1:41" ht="63" customHeight="1" x14ac:dyDescent="0.25">
      <c r="A113" s="73" t="str">
        <f>+'2024'!A113</f>
        <v>3.1.2.1</v>
      </c>
      <c r="B113" s="73" t="str">
        <f>+'2024'!B113</f>
        <v>Realizar convenios para apoyar la conservación y/o la actualización catastral</v>
      </c>
      <c r="C113" s="73" t="str">
        <f>+'2024'!C113</f>
        <v>Número</v>
      </c>
      <c r="D113" s="73" t="str">
        <f>+'2024'!D113</f>
        <v># de Convenios ejecutados para la conservación y/o la actualización catastral</v>
      </c>
      <c r="E113" s="142"/>
      <c r="F113" s="46">
        <f t="shared" ref="F113:F120" si="30">SUM(G113:R113)</f>
        <v>0</v>
      </c>
      <c r="G113" s="143"/>
      <c r="H113" s="78"/>
      <c r="I113" s="78"/>
      <c r="J113" s="78"/>
      <c r="K113" s="78"/>
      <c r="L113" s="78"/>
      <c r="M113" s="78"/>
      <c r="N113" s="78"/>
      <c r="O113" s="79"/>
      <c r="P113" s="78"/>
      <c r="Q113" s="79"/>
    </row>
    <row r="114" spans="1:41" ht="99" customHeight="1" x14ac:dyDescent="0.25">
      <c r="A114" s="73" t="str">
        <f>+'2024'!A114</f>
        <v>3.1.2.2</v>
      </c>
      <c r="B114" s="73" t="str">
        <f>+'2024'!B114</f>
        <v>Fortalecer la Formulación y Gestión de Proyectos en la Corporación</v>
      </c>
      <c r="C114" s="73" t="str">
        <f>+'2024'!C114</f>
        <v>Número</v>
      </c>
      <c r="D114" s="73" t="str">
        <f>+'2024'!D114</f>
        <v># de proyectos formulados y gestionados ante diferentes instancias</v>
      </c>
      <c r="E114" s="74">
        <v>5</v>
      </c>
      <c r="F114" s="46">
        <f t="shared" si="30"/>
        <v>180000000</v>
      </c>
      <c r="G114" s="144"/>
      <c r="H114" s="78">
        <v>180000000</v>
      </c>
      <c r="I114" s="78"/>
      <c r="J114" s="78"/>
      <c r="K114" s="78"/>
      <c r="L114" s="78"/>
      <c r="M114" s="78"/>
      <c r="N114" s="78"/>
      <c r="O114" s="79"/>
      <c r="P114" s="78"/>
      <c r="Q114" s="79"/>
    </row>
    <row r="115" spans="1:41" s="62" customFormat="1" ht="15" x14ac:dyDescent="0.25">
      <c r="A115" s="281" t="str">
        <f>+'2024'!A115</f>
        <v>PROYECTO 3.1.3</v>
      </c>
      <c r="B115" s="281" t="str">
        <f>+'2024'!B115</f>
        <v>Modernización y fortalecimiento Institucional</v>
      </c>
      <c r="C115" s="283" t="str">
        <f>+'2024'!C115</f>
        <v>CÓDIGO DNP</v>
      </c>
      <c r="D115" s="281">
        <f>+'2024'!D115</f>
        <v>3299</v>
      </c>
      <c r="E115" s="63"/>
      <c r="F115" s="92">
        <f t="shared" si="30"/>
        <v>1220000000</v>
      </c>
      <c r="G115" s="116">
        <f t="shared" ref="G115:Q115" si="31">SUM(G117:G121)</f>
        <v>0</v>
      </c>
      <c r="H115" s="116">
        <f t="shared" si="31"/>
        <v>1100000000</v>
      </c>
      <c r="I115" s="116">
        <f t="shared" si="31"/>
        <v>0</v>
      </c>
      <c r="J115" s="116">
        <f t="shared" si="31"/>
        <v>0</v>
      </c>
      <c r="K115" s="116">
        <f t="shared" si="31"/>
        <v>0</v>
      </c>
      <c r="L115" s="116">
        <f t="shared" si="31"/>
        <v>120000000</v>
      </c>
      <c r="M115" s="116">
        <f t="shared" si="31"/>
        <v>0</v>
      </c>
      <c r="N115" s="116">
        <f t="shared" si="31"/>
        <v>0</v>
      </c>
      <c r="O115" s="116">
        <f t="shared" si="31"/>
        <v>0</v>
      </c>
      <c r="P115" s="116">
        <f t="shared" si="31"/>
        <v>0</v>
      </c>
      <c r="Q115" s="116">
        <f t="shared" si="31"/>
        <v>0</v>
      </c>
    </row>
    <row r="116" spans="1:41" s="70" customFormat="1" ht="30" x14ac:dyDescent="0.25">
      <c r="A116" s="155" t="str">
        <f>+'2024'!A116</f>
        <v>CODIGO</v>
      </c>
      <c r="B116" s="155" t="str">
        <f>+'2024'!B116</f>
        <v>ACCIONES 
(INFINITIVO)</v>
      </c>
      <c r="C116" s="155" t="str">
        <f>+'2024'!C116</f>
        <v>UNIDAD 
DE MEDIDA</v>
      </c>
      <c r="D116" s="155" t="str">
        <f>+'2024'!D116</f>
        <v>INDICADOR 
FÓRMULA</v>
      </c>
      <c r="E116" s="67" t="s">
        <v>391</v>
      </c>
      <c r="F116" s="94">
        <f t="shared" si="30"/>
        <v>0</v>
      </c>
      <c r="G116" s="95"/>
      <c r="H116" s="110"/>
      <c r="I116" s="71"/>
      <c r="J116" s="71"/>
      <c r="K116" s="71"/>
      <c r="L116" s="71"/>
      <c r="M116" s="71"/>
      <c r="N116" s="71"/>
      <c r="O116" s="72"/>
      <c r="P116" s="71"/>
      <c r="Q116" s="72"/>
    </row>
    <row r="117" spans="1:41" ht="117" customHeight="1" x14ac:dyDescent="0.25">
      <c r="A117" s="73" t="str">
        <f>+'2024'!A117</f>
        <v>3.1.3.1</v>
      </c>
      <c r="B117" s="73" t="str">
        <f>+'2024'!B117</f>
        <v xml:space="preserve">Ejecutar el plan estratégico en Tecnología de la información y las comunicaciones </v>
      </c>
      <c r="C117" s="73" t="str">
        <f>+'2024'!C117</f>
        <v>Porcentaje</v>
      </c>
      <c r="D117" s="73" t="str">
        <f>+'2024'!D117</f>
        <v xml:space="preserve">% de cumplimiento plan estratégico en Tecnología de la información y las comunicaciones </v>
      </c>
      <c r="E117" s="145">
        <v>90</v>
      </c>
      <c r="F117" s="46">
        <f t="shared" si="30"/>
        <v>350000000</v>
      </c>
      <c r="G117" s="143"/>
      <c r="H117" s="78">
        <v>350000000</v>
      </c>
      <c r="I117" s="78"/>
      <c r="J117" s="78"/>
      <c r="K117" s="78"/>
      <c r="L117" s="78"/>
      <c r="M117" s="78"/>
      <c r="N117" s="78"/>
      <c r="O117" s="79"/>
      <c r="P117" s="78"/>
      <c r="Q117" s="79"/>
    </row>
    <row r="118" spans="1:41" ht="83.25" customHeight="1" x14ac:dyDescent="0.25">
      <c r="A118" s="73" t="str">
        <f>+'2024'!A118</f>
        <v>3.1.3.2</v>
      </c>
      <c r="B118" s="73" t="str">
        <f>+'2024'!B118</f>
        <v>Formular y ejecutar un plan que asegure la modernización y operatividad del Laboratorio ambiental</v>
      </c>
      <c r="C118" s="73" t="str">
        <f>+'2024'!C118</f>
        <v>Porcentaje</v>
      </c>
      <c r="D118" s="73" t="str">
        <f>+'2024'!D118</f>
        <v>% de cumplimiento plan estratégico de funcionamiento de laboratorio ambiental</v>
      </c>
      <c r="E118" s="146">
        <v>50</v>
      </c>
      <c r="F118" s="46">
        <f t="shared" si="30"/>
        <v>330000000</v>
      </c>
      <c r="G118" s="143"/>
      <c r="H118" s="78">
        <v>210000000</v>
      </c>
      <c r="I118" s="78"/>
      <c r="J118" s="78"/>
      <c r="K118" s="78"/>
      <c r="L118" s="78">
        <v>120000000</v>
      </c>
      <c r="M118" s="78"/>
      <c r="N118" s="78"/>
      <c r="O118" s="79"/>
      <c r="P118" s="78"/>
      <c r="Q118" s="79"/>
    </row>
    <row r="119" spans="1:41" ht="36" customHeight="1" x14ac:dyDescent="0.25">
      <c r="A119" s="73" t="str">
        <f>+'2024'!A119</f>
        <v>3.1.3.3</v>
      </c>
      <c r="B119" s="73" t="str">
        <f>+'2024'!B119</f>
        <v>Mejorar el porcentaje de implementación del modelo integrado de planeación y gestión</v>
      </c>
      <c r="C119" s="73" t="str">
        <f>+'2024'!C119</f>
        <v>Porcentaje</v>
      </c>
      <c r="D119" s="73" t="str">
        <f>+'2024'!D119</f>
        <v>% de implementación MIPG</v>
      </c>
      <c r="E119" s="145">
        <v>93</v>
      </c>
      <c r="F119" s="46">
        <f t="shared" si="30"/>
        <v>450000000</v>
      </c>
      <c r="G119" s="143"/>
      <c r="H119" s="78">
        <v>450000000</v>
      </c>
      <c r="I119" s="78"/>
      <c r="J119" s="78"/>
      <c r="K119" s="78"/>
      <c r="L119" s="78"/>
      <c r="M119" s="78"/>
      <c r="N119" s="78"/>
      <c r="O119" s="79"/>
      <c r="P119" s="78"/>
      <c r="Q119" s="79"/>
    </row>
    <row r="120" spans="1:41" ht="60" x14ac:dyDescent="0.25">
      <c r="A120" s="73" t="str">
        <f>+'2024'!A120</f>
        <v>3.1.3.4</v>
      </c>
      <c r="B120" s="73" t="str">
        <f>+'2024'!B120</f>
        <v>Formular y ejecutar un plan que asegure la modernización y operatividad del Laboratorio de suelos</v>
      </c>
      <c r="C120" s="73" t="str">
        <f>+'2024'!C120</f>
        <v>Porcentaje</v>
      </c>
      <c r="D120" s="73" t="str">
        <f>+'2024'!D120</f>
        <v>% de cumplimiento plan estratégico de funcionamiento de laboratorio de suelos</v>
      </c>
      <c r="E120" s="286">
        <v>63.55</v>
      </c>
      <c r="F120" s="46">
        <f t="shared" si="30"/>
        <v>30000000</v>
      </c>
      <c r="G120" s="143"/>
      <c r="H120" s="78">
        <v>30000000</v>
      </c>
      <c r="I120" s="78"/>
      <c r="J120" s="78"/>
      <c r="K120" s="78"/>
      <c r="L120" s="78"/>
      <c r="M120" s="78"/>
      <c r="N120" s="78"/>
      <c r="O120" s="79"/>
      <c r="P120" s="78"/>
      <c r="Q120" s="79"/>
    </row>
    <row r="121" spans="1:41" ht="47.25" customHeight="1" x14ac:dyDescent="0.25">
      <c r="A121" s="73" t="str">
        <f>+'2024'!A121</f>
        <v>3.1.3.5</v>
      </c>
      <c r="B121" s="73" t="str">
        <f>+'2024'!B121</f>
        <v>Mantener el reconocimiento y categorización del grupo de investigación de Corpocaldas frente a MinCiencias</v>
      </c>
      <c r="C121" s="73" t="str">
        <f>+'2024'!C121</f>
        <v>Número</v>
      </c>
      <c r="D121" s="73" t="str">
        <f>+'2024'!D121</f>
        <v>Grupo de Investigación en Categoría C de MinCiencias</v>
      </c>
      <c r="E121" s="131">
        <v>1</v>
      </c>
      <c r="F121" s="46">
        <f>SUM(H121:AO121)</f>
        <v>60000000</v>
      </c>
      <c r="G121" s="132"/>
      <c r="H121" s="39">
        <v>60000000</v>
      </c>
      <c r="I121" s="39"/>
      <c r="J121" s="39"/>
      <c r="K121" s="39"/>
      <c r="L121" s="39"/>
      <c r="M121" s="39"/>
      <c r="N121" s="39"/>
      <c r="O121" s="39"/>
      <c r="P121" s="39"/>
      <c r="Q121" s="103"/>
      <c r="R121" s="10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</row>
    <row r="122" spans="1:41" s="55" customFormat="1" ht="32.1" customHeight="1" x14ac:dyDescent="0.25">
      <c r="A122" s="54" t="str">
        <f>+'2024'!A122</f>
        <v>PROGRAMA 3.2</v>
      </c>
      <c r="B122" s="54" t="str">
        <f>+'2024'!B122</f>
        <v>GOBERNANZA AMBIENTAL</v>
      </c>
      <c r="C122" s="365"/>
      <c r="D122" s="365"/>
      <c r="E122" s="56"/>
      <c r="F122" s="134">
        <f>SUM(G122:R122)</f>
        <v>4524276021</v>
      </c>
      <c r="G122" s="57">
        <f t="shared" ref="G122:Q122" si="32">+G123+G130+G135</f>
        <v>0</v>
      </c>
      <c r="H122" s="57">
        <f t="shared" si="32"/>
        <v>3070000000</v>
      </c>
      <c r="I122" s="57">
        <f t="shared" si="32"/>
        <v>1024276021</v>
      </c>
      <c r="J122" s="57">
        <f t="shared" si="32"/>
        <v>0</v>
      </c>
      <c r="K122" s="57">
        <f t="shared" si="32"/>
        <v>100000000</v>
      </c>
      <c r="L122" s="57">
        <f t="shared" si="32"/>
        <v>300000000</v>
      </c>
      <c r="M122" s="57">
        <f t="shared" si="32"/>
        <v>0</v>
      </c>
      <c r="N122" s="57">
        <f t="shared" si="32"/>
        <v>0</v>
      </c>
      <c r="O122" s="57">
        <f t="shared" si="32"/>
        <v>0</v>
      </c>
      <c r="P122" s="57">
        <f t="shared" si="32"/>
        <v>30000000</v>
      </c>
      <c r="Q122" s="58">
        <f t="shared" si="32"/>
        <v>0</v>
      </c>
    </row>
    <row r="123" spans="1:41" s="62" customFormat="1" ht="37.5" customHeight="1" x14ac:dyDescent="0.25">
      <c r="A123" s="281" t="str">
        <f>+'2024'!A123</f>
        <v>PROYECTO 3.2.1</v>
      </c>
      <c r="B123" s="281" t="str">
        <f>+'2024'!B123</f>
        <v>Educación y comunicación para la apropiación del bioterritorio</v>
      </c>
      <c r="C123" s="283" t="str">
        <f>+'2024'!C123</f>
        <v>CÓDIGO DNP</v>
      </c>
      <c r="D123" s="281">
        <f>+'2024'!D123</f>
        <v>3208</v>
      </c>
      <c r="E123" s="63"/>
      <c r="F123" s="135">
        <f>SUM(G123:R123)</f>
        <v>1974276021</v>
      </c>
      <c r="G123" s="64">
        <f t="shared" ref="G123:Q123" si="33">SUM(G125:G129)</f>
        <v>0</v>
      </c>
      <c r="H123" s="64">
        <f t="shared" si="33"/>
        <v>1570000000</v>
      </c>
      <c r="I123" s="64">
        <f t="shared" si="33"/>
        <v>374276021</v>
      </c>
      <c r="J123" s="64">
        <f t="shared" si="33"/>
        <v>0</v>
      </c>
      <c r="K123" s="64">
        <f t="shared" si="33"/>
        <v>0</v>
      </c>
      <c r="L123" s="64">
        <f t="shared" si="33"/>
        <v>0</v>
      </c>
      <c r="M123" s="64">
        <f t="shared" si="33"/>
        <v>0</v>
      </c>
      <c r="N123" s="64">
        <f t="shared" si="33"/>
        <v>0</v>
      </c>
      <c r="O123" s="64">
        <f t="shared" si="33"/>
        <v>0</v>
      </c>
      <c r="P123" s="64">
        <f t="shared" si="33"/>
        <v>30000000</v>
      </c>
      <c r="Q123" s="65">
        <f t="shared" si="33"/>
        <v>0</v>
      </c>
    </row>
    <row r="124" spans="1:41" s="70" customFormat="1" ht="39.75" customHeight="1" x14ac:dyDescent="0.25">
      <c r="A124" s="155" t="str">
        <f>+'2024'!A124</f>
        <v>CODIGO</v>
      </c>
      <c r="B124" s="155" t="str">
        <f>+'2024'!B124</f>
        <v>ACCIONES 
(INFINITIVO)</v>
      </c>
      <c r="C124" s="155" t="str">
        <f>+'2024'!C124</f>
        <v>UNIDAD 
DE MEDIDA</v>
      </c>
      <c r="D124" s="155" t="str">
        <f>+'2024'!D124</f>
        <v>INDICADOR 
FÓRMULA</v>
      </c>
      <c r="E124" s="67" t="s">
        <v>391</v>
      </c>
      <c r="F124" s="69" t="s">
        <v>392</v>
      </c>
      <c r="G124" s="136"/>
      <c r="H124" s="137"/>
      <c r="I124" s="138"/>
      <c r="J124" s="138"/>
      <c r="K124" s="138"/>
      <c r="L124" s="138"/>
      <c r="M124" s="138"/>
      <c r="N124" s="138"/>
      <c r="O124" s="139"/>
      <c r="P124" s="138"/>
      <c r="Q124" s="139"/>
    </row>
    <row r="125" spans="1:41" ht="63.75" customHeight="1" x14ac:dyDescent="0.25">
      <c r="A125" s="73" t="str">
        <f>+'2024'!A125</f>
        <v>3.2.1.1</v>
      </c>
      <c r="B125" s="73" t="str">
        <f>+'2024'!B125</f>
        <v>Implementar  estrategias de comunicación para el conocimiento ambiental, promoción de la conservación y la apropiación del bioterritorio y la acción colaborativa</v>
      </c>
      <c r="C125" s="73" t="str">
        <f>+'2024'!C125</f>
        <v>Número</v>
      </c>
      <c r="D125" s="73" t="str">
        <f>+'2024'!D125</f>
        <v># de Estrategias implementadas</v>
      </c>
      <c r="E125" s="75">
        <v>5</v>
      </c>
      <c r="F125" s="46">
        <f t="shared" ref="F125:F130" si="34">SUM(G125:R125)</f>
        <v>220000000</v>
      </c>
      <c r="G125" s="80"/>
      <c r="H125" s="78">
        <v>220000000</v>
      </c>
      <c r="I125" s="78"/>
      <c r="J125" s="78"/>
      <c r="K125" s="78"/>
      <c r="L125" s="78"/>
      <c r="M125" s="78"/>
      <c r="N125" s="78"/>
      <c r="O125" s="79"/>
      <c r="P125" s="78"/>
      <c r="Q125" s="79"/>
    </row>
    <row r="126" spans="1:41" ht="65.25" customHeight="1" x14ac:dyDescent="0.25">
      <c r="A126" s="73" t="str">
        <f>+'2024'!A126</f>
        <v>3.2.1.2</v>
      </c>
      <c r="B126" s="73" t="str">
        <f>+'2024'!B126</f>
        <v xml:space="preserve">Implementar estrategias de comunicación para la visibilización de la gestión y las competencias de la entidad  y mejorar la percepción de valor de los grupos de interés </v>
      </c>
      <c r="C126" s="73" t="str">
        <f>+'2024'!C126</f>
        <v>Número</v>
      </c>
      <c r="D126" s="73" t="str">
        <f>+'2024'!D126</f>
        <v># de Estrategias implementadas</v>
      </c>
      <c r="E126" s="75">
        <v>8</v>
      </c>
      <c r="F126" s="46">
        <f t="shared" si="34"/>
        <v>250000000</v>
      </c>
      <c r="G126" s="80"/>
      <c r="H126" s="78">
        <v>250000000</v>
      </c>
      <c r="I126" s="78"/>
      <c r="J126" s="78"/>
      <c r="K126" s="78"/>
      <c r="L126" s="78"/>
      <c r="M126" s="78"/>
      <c r="N126" s="78"/>
      <c r="O126" s="79"/>
      <c r="P126" s="78"/>
      <c r="Q126" s="79"/>
    </row>
    <row r="127" spans="1:41" ht="48" customHeight="1" x14ac:dyDescent="0.25">
      <c r="A127" s="73" t="str">
        <f>+'2024'!A127</f>
        <v>3.2.1.3</v>
      </c>
      <c r="B127" s="73" t="str">
        <f>+'2024'!B127</f>
        <v>Implementar estrategias de comunicación interna  que impacten postivamente la cultura y el clima organizacional</v>
      </c>
      <c r="C127" s="73" t="str">
        <f>+'2024'!C127</f>
        <v>Número</v>
      </c>
      <c r="D127" s="73" t="str">
        <f>+'2024'!D127</f>
        <v># de Estrategias implementadas</v>
      </c>
      <c r="E127" s="148">
        <v>4</v>
      </c>
      <c r="F127" s="46">
        <f t="shared" si="34"/>
        <v>100000000</v>
      </c>
      <c r="G127" s="80"/>
      <c r="H127" s="78">
        <v>100000000</v>
      </c>
      <c r="I127" s="78"/>
      <c r="J127" s="78"/>
      <c r="K127" s="78"/>
      <c r="L127" s="78"/>
      <c r="M127" s="78"/>
      <c r="N127" s="78"/>
      <c r="O127" s="79"/>
      <c r="P127" s="78"/>
      <c r="Q127" s="79"/>
    </row>
    <row r="128" spans="1:41" ht="75.75" customHeight="1" x14ac:dyDescent="0.25">
      <c r="A128" s="73" t="str">
        <f>+'2024'!A128</f>
        <v>3.2.1.4</v>
      </c>
      <c r="B128" s="73" t="str">
        <f>+'2024'!B128</f>
        <v>Implementar el programa de educación ambiental establecido para la vigencia 2024 - 2027</v>
      </c>
      <c r="C128" s="73" t="str">
        <f>+'2024'!C128</f>
        <v>Porcentaje</v>
      </c>
      <c r="D128" s="73" t="str">
        <f>+'2024'!D128</f>
        <v>% de implementación del programa de educación ambiental</v>
      </c>
      <c r="E128" s="148">
        <v>30</v>
      </c>
      <c r="F128" s="46">
        <f t="shared" si="34"/>
        <v>1254276021</v>
      </c>
      <c r="G128" s="80"/>
      <c r="H128" s="78">
        <v>850000000</v>
      </c>
      <c r="I128" s="78">
        <f>400000000-25723979</f>
        <v>374276021</v>
      </c>
      <c r="J128" s="78"/>
      <c r="K128" s="78"/>
      <c r="L128" s="78"/>
      <c r="M128" s="78"/>
      <c r="N128" s="78"/>
      <c r="O128" s="79"/>
      <c r="P128" s="78">
        <v>30000000</v>
      </c>
      <c r="Q128" s="79"/>
    </row>
    <row r="129" spans="1:17" ht="32.25" customHeight="1" x14ac:dyDescent="0.25">
      <c r="A129" s="73" t="str">
        <f>+'2024'!A129</f>
        <v>3.2.1.5</v>
      </c>
      <c r="B129" s="73" t="str">
        <f>+'2024'!B129</f>
        <v>Desarrollar proyectos de apropiación social del conocimiento socioambiental</v>
      </c>
      <c r="C129" s="73" t="str">
        <f>+'2024'!C129</f>
        <v>Número</v>
      </c>
      <c r="D129" s="73" t="str">
        <f>+'2024'!D129</f>
        <v># de acciones implementadas</v>
      </c>
      <c r="E129" s="149">
        <v>1</v>
      </c>
      <c r="F129" s="46">
        <f t="shared" si="34"/>
        <v>150000000</v>
      </c>
      <c r="G129" s="151"/>
      <c r="H129" s="39">
        <v>150000000</v>
      </c>
      <c r="I129" s="39"/>
      <c r="J129" s="39"/>
      <c r="K129" s="39"/>
      <c r="L129" s="39"/>
      <c r="M129" s="39"/>
      <c r="N129" s="39"/>
      <c r="O129" s="39"/>
      <c r="P129" s="39"/>
      <c r="Q129" s="39"/>
    </row>
    <row r="130" spans="1:17" s="62" customFormat="1" ht="26.25" customHeight="1" x14ac:dyDescent="0.25">
      <c r="A130" s="281" t="str">
        <f>+'2024'!A130</f>
        <v>PROYECTO 3.2.2</v>
      </c>
      <c r="B130" s="281" t="str">
        <f>+'2024'!B130</f>
        <v>Participación para la incidencia en el Bioterritorio</v>
      </c>
      <c r="C130" s="283" t="str">
        <f>+'2024'!C130</f>
        <v>CÓDIGO DNP</v>
      </c>
      <c r="D130" s="281">
        <f>+'2024'!D130</f>
        <v>3208</v>
      </c>
      <c r="E130" s="63"/>
      <c r="F130" s="92">
        <f t="shared" si="34"/>
        <v>1150000000</v>
      </c>
      <c r="G130" s="116">
        <f t="shared" ref="G130:Q130" si="35">SUM(G132:G134)</f>
        <v>0</v>
      </c>
      <c r="H130" s="116">
        <f t="shared" si="35"/>
        <v>900000000</v>
      </c>
      <c r="I130" s="116">
        <f t="shared" si="35"/>
        <v>250000000</v>
      </c>
      <c r="J130" s="116">
        <f t="shared" si="35"/>
        <v>0</v>
      </c>
      <c r="K130" s="116">
        <f t="shared" si="35"/>
        <v>0</v>
      </c>
      <c r="L130" s="116">
        <f t="shared" si="35"/>
        <v>0</v>
      </c>
      <c r="M130" s="116">
        <f t="shared" si="35"/>
        <v>0</v>
      </c>
      <c r="N130" s="116">
        <f t="shared" si="35"/>
        <v>0</v>
      </c>
      <c r="O130" s="116">
        <f t="shared" si="35"/>
        <v>0</v>
      </c>
      <c r="P130" s="116">
        <f t="shared" si="35"/>
        <v>0</v>
      </c>
      <c r="Q130" s="116">
        <f t="shared" si="35"/>
        <v>0</v>
      </c>
    </row>
    <row r="131" spans="1:17" s="70" customFormat="1" ht="37.5" customHeight="1" x14ac:dyDescent="0.25">
      <c r="A131" s="155" t="str">
        <f>+'2024'!A131</f>
        <v>CODIGO</v>
      </c>
      <c r="B131" s="155" t="str">
        <f>+'2024'!B131</f>
        <v>ACCIONES 
(INFINITIVO)</v>
      </c>
      <c r="C131" s="155" t="str">
        <f>+'2024'!C131</f>
        <v>UNIDAD 
DE MEDIDA</v>
      </c>
      <c r="D131" s="155" t="str">
        <f>+'2024'!D131</f>
        <v>INDICADOR 
FÓRMULA</v>
      </c>
      <c r="E131" s="67" t="s">
        <v>391</v>
      </c>
      <c r="F131" s="69" t="s">
        <v>392</v>
      </c>
      <c r="G131" s="95"/>
      <c r="H131" s="110"/>
      <c r="I131" s="71"/>
      <c r="J131" s="71"/>
      <c r="K131" s="71"/>
      <c r="L131" s="71"/>
      <c r="M131" s="71"/>
      <c r="N131" s="71"/>
      <c r="O131" s="72"/>
      <c r="P131" s="71"/>
      <c r="Q131" s="72"/>
    </row>
    <row r="132" spans="1:17" ht="96" customHeight="1" x14ac:dyDescent="0.25">
      <c r="A132" s="73" t="str">
        <f>+'2024'!A132</f>
        <v>3.2.2.1</v>
      </c>
      <c r="B132" s="73" t="str">
        <f>+'2024'!B132</f>
        <v>Fortalecer los procesos y escenarios de participación ciudadana para garantizar el derecho a la participación, el acceso a la Justicia Ambiental, y el acceso a la información para la incidencia en las decisiones ambientales del territorio (ACUERDO DE ESCAZÚ).</v>
      </c>
      <c r="C132" s="73" t="str">
        <f>+'2024'!C132</f>
        <v>Número</v>
      </c>
      <c r="D132" s="73" t="str">
        <f>+'2024'!D132</f>
        <v># subregiones acompañadas</v>
      </c>
      <c r="E132" s="146">
        <v>6</v>
      </c>
      <c r="F132" s="46">
        <f>SUM(G132:R132)</f>
        <v>750000000</v>
      </c>
      <c r="G132" s="152"/>
      <c r="H132" s="78">
        <v>500000000</v>
      </c>
      <c r="I132" s="78">
        <v>250000000</v>
      </c>
      <c r="J132" s="78"/>
      <c r="K132" s="78"/>
      <c r="L132" s="78"/>
      <c r="M132" s="78"/>
      <c r="N132" s="78"/>
      <c r="O132" s="79"/>
      <c r="P132" s="78"/>
      <c r="Q132" s="79"/>
    </row>
    <row r="133" spans="1:17" ht="69.75" customHeight="1" x14ac:dyDescent="0.25">
      <c r="A133" s="73" t="str">
        <f>+'2024'!A133</f>
        <v>3.2.2.2</v>
      </c>
      <c r="B133" s="73" t="str">
        <f>+'2024'!B133</f>
        <v>Acompañar a las instancias de veeduría ciudadana e implementar estrategias en torno a mecanismos de control social para el mejoramiento de la gestión pública</v>
      </c>
      <c r="C133" s="73" t="str">
        <f>+'2024'!C133</f>
        <v>Número</v>
      </c>
      <c r="D133" s="73" t="str">
        <f>+'2024'!D133</f>
        <v># de veedurías acompañadas y estrategias implementadas</v>
      </c>
      <c r="E133" s="145">
        <v>2</v>
      </c>
      <c r="F133" s="46">
        <f>SUM(G133:R133)</f>
        <v>100000000</v>
      </c>
      <c r="G133" s="152"/>
      <c r="H133" s="78">
        <v>100000000</v>
      </c>
      <c r="I133" s="78"/>
      <c r="J133" s="78"/>
      <c r="K133" s="78"/>
      <c r="L133" s="78"/>
      <c r="M133" s="78"/>
      <c r="N133" s="78"/>
      <c r="O133" s="79"/>
      <c r="P133" s="78"/>
      <c r="Q133" s="79"/>
    </row>
    <row r="134" spans="1:17" ht="65.25" customHeight="1" x14ac:dyDescent="0.25">
      <c r="A134" s="73" t="str">
        <f>+'2024'!A134</f>
        <v>3.2.2.3</v>
      </c>
      <c r="B134" s="73" t="str">
        <f>+'2024'!B134</f>
        <v>Implementar estrategias de diálogo y concertación intersectorial y multisectorial para el manejo de los conflictos socioambientales priorizados</v>
      </c>
      <c r="C134" s="73" t="str">
        <f>+'2024'!C134</f>
        <v>Número</v>
      </c>
      <c r="D134" s="73" t="str">
        <f>+'2024'!D134</f>
        <v># de estrategias de dialogo y concertación implementadas</v>
      </c>
      <c r="E134" s="145">
        <v>1</v>
      </c>
      <c r="F134" s="46">
        <f>SUM(G134:R134)</f>
        <v>300000000</v>
      </c>
      <c r="G134" s="152"/>
      <c r="H134" s="78">
        <v>300000000</v>
      </c>
      <c r="I134" s="78"/>
      <c r="J134" s="78"/>
      <c r="K134" s="78"/>
      <c r="L134" s="78"/>
      <c r="M134" s="78"/>
      <c r="N134" s="78"/>
      <c r="O134" s="79"/>
      <c r="P134" s="78"/>
      <c r="Q134" s="79"/>
    </row>
    <row r="135" spans="1:17" s="62" customFormat="1" ht="15" x14ac:dyDescent="0.25">
      <c r="A135" s="281" t="str">
        <f>+'2024'!A135</f>
        <v>PROYECTO 3.2.3</v>
      </c>
      <c r="B135" s="281" t="str">
        <f>+'2024'!B135</f>
        <v>Acciones ambientales diferenciales</v>
      </c>
      <c r="C135" s="283" t="str">
        <f>+'2024'!C135</f>
        <v>CÓDIGO DNP</v>
      </c>
      <c r="D135" s="281">
        <f>+'2024'!D135</f>
        <v>3208</v>
      </c>
      <c r="E135" s="63"/>
      <c r="F135" s="92">
        <f>SUM(G135:R135)</f>
        <v>1400000000</v>
      </c>
      <c r="G135" s="116">
        <f>SUM(G137:G139)</f>
        <v>0</v>
      </c>
      <c r="H135" s="116">
        <f t="shared" ref="H135:Q135" si="36">SUM(H137:H139)</f>
        <v>600000000</v>
      </c>
      <c r="I135" s="116">
        <f t="shared" si="36"/>
        <v>400000000</v>
      </c>
      <c r="J135" s="116">
        <f t="shared" si="36"/>
        <v>0</v>
      </c>
      <c r="K135" s="116">
        <f t="shared" si="36"/>
        <v>100000000</v>
      </c>
      <c r="L135" s="116">
        <f t="shared" si="36"/>
        <v>300000000</v>
      </c>
      <c r="M135" s="116">
        <f t="shared" si="36"/>
        <v>0</v>
      </c>
      <c r="N135" s="116">
        <f t="shared" si="36"/>
        <v>0</v>
      </c>
      <c r="O135" s="116">
        <f t="shared" si="36"/>
        <v>0</v>
      </c>
      <c r="P135" s="116">
        <f t="shared" si="36"/>
        <v>0</v>
      </c>
      <c r="Q135" s="116">
        <f t="shared" si="36"/>
        <v>0</v>
      </c>
    </row>
    <row r="136" spans="1:17" s="70" customFormat="1" ht="30" x14ac:dyDescent="0.25">
      <c r="A136" s="155" t="str">
        <f>+'2024'!A136</f>
        <v>CODIGO</v>
      </c>
      <c r="B136" s="155" t="str">
        <f>+'2024'!B136</f>
        <v>ACCIONES 
(INFINITIVO)</v>
      </c>
      <c r="C136" s="155" t="str">
        <f>+'2024'!C136</f>
        <v>UNIDAD 
DE MEDIDA</v>
      </c>
      <c r="D136" s="155" t="str">
        <f>+'2024'!D136</f>
        <v>INDICADOR 
FÓRMULA</v>
      </c>
      <c r="E136" s="67" t="s">
        <v>391</v>
      </c>
      <c r="F136" s="69" t="s">
        <v>392</v>
      </c>
      <c r="G136" s="95"/>
      <c r="H136" s="110"/>
      <c r="I136" s="71"/>
      <c r="J136" s="71"/>
      <c r="K136" s="71"/>
      <c r="L136" s="71"/>
      <c r="M136" s="71"/>
      <c r="N136" s="71"/>
      <c r="O136" s="72"/>
      <c r="P136" s="71"/>
      <c r="Q136" s="72"/>
    </row>
    <row r="137" spans="1:17" ht="54.75" customHeight="1" x14ac:dyDescent="0.25">
      <c r="A137" s="73" t="str">
        <f>+'2024'!A137</f>
        <v>3.2.3.1</v>
      </c>
      <c r="B137" s="73" t="str">
        <f>+'2024'!B137</f>
        <v xml:space="preserve">Ejecutar acciones priorizadas en la agenda ambiental Indígena, los acuerdos de consulta previa y los compromisos de sentencias </v>
      </c>
      <c r="C137" s="73" t="str">
        <f>+'2024'!C137</f>
        <v>Porcentaje</v>
      </c>
      <c r="D137" s="73" t="str">
        <f>+'2024'!D137</f>
        <v>% de ejecución agenda concertada</v>
      </c>
      <c r="E137" s="75">
        <v>100</v>
      </c>
      <c r="F137" s="46">
        <f>SUM(G137:R137)</f>
        <v>900000000</v>
      </c>
      <c r="G137" s="74"/>
      <c r="H137" s="78">
        <v>200000000</v>
      </c>
      <c r="I137" s="78">
        <v>300000000</v>
      </c>
      <c r="J137" s="78"/>
      <c r="K137" s="78">
        <v>100000000</v>
      </c>
      <c r="L137" s="78">
        <v>300000000</v>
      </c>
      <c r="M137" s="78"/>
      <c r="N137" s="78"/>
      <c r="O137" s="79"/>
      <c r="P137" s="78"/>
      <c r="Q137" s="79"/>
    </row>
    <row r="138" spans="1:17" ht="30" x14ac:dyDescent="0.25">
      <c r="A138" s="73" t="str">
        <f>+'2024'!A138</f>
        <v>3.2.3.2</v>
      </c>
      <c r="B138" s="73" t="str">
        <f>+'2024'!B138</f>
        <v>Ejecutar acciones priorizadas en la agenda ambiental NARP</v>
      </c>
      <c r="C138" s="73" t="str">
        <f>+'2024'!C138</f>
        <v>Porcentaje</v>
      </c>
      <c r="D138" s="73" t="str">
        <f>+'2024'!D138</f>
        <v>% de ejecución agenda concertada</v>
      </c>
      <c r="E138" s="75">
        <v>100</v>
      </c>
      <c r="F138" s="46">
        <f>SUM(G138:R138)</f>
        <v>350000000</v>
      </c>
      <c r="G138" s="74"/>
      <c r="H138" s="78">
        <v>250000000</v>
      </c>
      <c r="I138" s="78">
        <v>100000000</v>
      </c>
      <c r="J138" s="78"/>
      <c r="K138" s="78"/>
      <c r="L138" s="78"/>
      <c r="M138" s="78"/>
      <c r="N138" s="78"/>
      <c r="O138" s="79"/>
      <c r="P138" s="78"/>
      <c r="Q138" s="79"/>
    </row>
    <row r="139" spans="1:17" ht="75" x14ac:dyDescent="0.25">
      <c r="A139" s="73" t="str">
        <f>+'2024'!A139</f>
        <v>3.2.3.3</v>
      </c>
      <c r="B139" s="73" t="str">
        <f>+'2024'!B139</f>
        <v>Acompañar e implementar procesos para la formulación de planes, programas y acciones con enfoque de género y diferencial.</v>
      </c>
      <c r="C139" s="73" t="str">
        <f>+'2024'!C139</f>
        <v>Número</v>
      </c>
      <c r="D139" s="73" t="str">
        <f>+'2024'!D139</f>
        <v># de procesos acompañados con enfoque de género y diferencial (Personas con discapacidad)</v>
      </c>
      <c r="E139" s="111">
        <v>2</v>
      </c>
      <c r="F139" s="46">
        <f>SUM(G139:R139)</f>
        <v>150000000</v>
      </c>
      <c r="G139" s="152"/>
      <c r="H139" s="78">
        <v>150000000</v>
      </c>
      <c r="I139" s="78"/>
      <c r="J139" s="78"/>
      <c r="K139" s="78"/>
      <c r="L139" s="78"/>
      <c r="M139" s="78"/>
      <c r="N139" s="78"/>
      <c r="O139" s="79"/>
      <c r="P139" s="78"/>
      <c r="Q139" s="79"/>
    </row>
  </sheetData>
  <mergeCells count="10">
    <mergeCell ref="H3:N3"/>
    <mergeCell ref="O3:Q3"/>
    <mergeCell ref="C122:D122"/>
    <mergeCell ref="C96:D96"/>
    <mergeCell ref="C97:D97"/>
    <mergeCell ref="C83:D83"/>
    <mergeCell ref="C7:D7"/>
    <mergeCell ref="C8:D8"/>
    <mergeCell ref="C65:D65"/>
    <mergeCell ref="C66:D66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39"/>
  <sheetViews>
    <sheetView topLeftCell="E1" zoomScaleNormal="100" workbookViewId="0">
      <selection activeCell="E10" sqref="E10:F10"/>
    </sheetView>
  </sheetViews>
  <sheetFormatPr baseColWidth="10" defaultColWidth="11" defaultRowHeight="15.75" customHeight="1" x14ac:dyDescent="0.25"/>
  <cols>
    <col min="1" max="1" width="13" style="35" customWidth="1"/>
    <col min="2" max="2" width="33.375" style="35" customWidth="1"/>
    <col min="3" max="3" width="13.875" style="35" customWidth="1"/>
    <col min="4" max="4" width="32" style="35" customWidth="1"/>
    <col min="5" max="5" width="9.25" style="36" customWidth="1"/>
    <col min="6" max="6" width="13.375" style="37" customWidth="1"/>
    <col min="7" max="7" width="14.75" style="37" bestFit="1" customWidth="1"/>
    <col min="8" max="8" width="14" style="35" customWidth="1"/>
    <col min="9" max="9" width="16.125" style="35" customWidth="1"/>
    <col min="10" max="10" width="19.25" style="35" customWidth="1"/>
    <col min="11" max="12" width="13.75" style="35" bestFit="1" customWidth="1"/>
    <col min="13" max="14" width="11" style="35"/>
    <col min="15" max="15" width="12" style="35" bestFit="1" customWidth="1"/>
    <col min="16" max="16" width="14.625" style="35" customWidth="1"/>
    <col min="17" max="17" width="12" style="35" bestFit="1" customWidth="1"/>
    <col min="18" max="16384" width="11" style="35"/>
  </cols>
  <sheetData>
    <row r="1" spans="1:17" ht="9" customHeight="1" x14ac:dyDescent="0.25"/>
    <row r="2" spans="1:17" ht="18" customHeight="1" x14ac:dyDescent="0.25">
      <c r="G2" s="37">
        <f>+G5-G6</f>
        <v>17810000000</v>
      </c>
      <c r="H2" s="37">
        <f t="shared" ref="H2:Q2" si="0">+H5-H6</f>
        <v>0</v>
      </c>
      <c r="I2" s="279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</row>
    <row r="3" spans="1:17" ht="17.25" customHeight="1" x14ac:dyDescent="0.25">
      <c r="G3" s="41" t="s">
        <v>0</v>
      </c>
      <c r="H3" s="363" t="s">
        <v>1</v>
      </c>
      <c r="I3" s="363"/>
      <c r="J3" s="363"/>
      <c r="K3" s="363"/>
      <c r="L3" s="363"/>
      <c r="M3" s="363"/>
      <c r="N3" s="363"/>
      <c r="O3" s="350"/>
      <c r="P3" s="367" t="s">
        <v>388</v>
      </c>
      <c r="Q3" s="367"/>
    </row>
    <row r="4" spans="1:17" ht="31.5" customHeight="1" x14ac:dyDescent="0.25">
      <c r="F4" s="174" t="s">
        <v>3</v>
      </c>
      <c r="G4" s="41" t="s">
        <v>0</v>
      </c>
      <c r="H4" s="42" t="s">
        <v>4</v>
      </c>
      <c r="I4" s="42" t="s">
        <v>389</v>
      </c>
      <c r="J4" s="42" t="s">
        <v>9</v>
      </c>
      <c r="K4" s="42" t="s">
        <v>10</v>
      </c>
      <c r="L4" s="42" t="s">
        <v>11</v>
      </c>
      <c r="M4" s="42" t="s">
        <v>12</v>
      </c>
      <c r="N4" s="42" t="s">
        <v>13</v>
      </c>
      <c r="O4" s="42" t="s">
        <v>14</v>
      </c>
      <c r="P4" s="42" t="s">
        <v>390</v>
      </c>
      <c r="Q4" s="42" t="s">
        <v>19</v>
      </c>
    </row>
    <row r="5" spans="1:17" ht="15" x14ac:dyDescent="0.25">
      <c r="F5" s="43">
        <f>SUM(H5:R5)</f>
        <v>28506711000</v>
      </c>
      <c r="G5" s="44">
        <v>17810000000</v>
      </c>
      <c r="H5" s="45">
        <v>14700931000</v>
      </c>
      <c r="I5" s="45">
        <v>5694500000</v>
      </c>
      <c r="J5" s="45">
        <v>287600000</v>
      </c>
      <c r="K5" s="45">
        <v>1341900000</v>
      </c>
      <c r="L5" s="45">
        <v>5491800000</v>
      </c>
      <c r="M5" s="45">
        <v>5040000</v>
      </c>
      <c r="N5" s="45">
        <v>5040000</v>
      </c>
      <c r="O5" s="45">
        <v>279900000</v>
      </c>
      <c r="P5" s="45">
        <v>300000000</v>
      </c>
      <c r="Q5" s="153">
        <v>400000000</v>
      </c>
    </row>
    <row r="6" spans="1:17" ht="15" x14ac:dyDescent="0.25">
      <c r="F6" s="46"/>
      <c r="G6" s="47">
        <f t="shared" ref="G6:Q6" si="1">+G7+G65+G96</f>
        <v>0</v>
      </c>
      <c r="H6" s="47">
        <f t="shared" si="1"/>
        <v>14700931000</v>
      </c>
      <c r="I6" s="47">
        <f t="shared" si="1"/>
        <v>5694500000</v>
      </c>
      <c r="J6" s="47">
        <f t="shared" si="1"/>
        <v>287600000</v>
      </c>
      <c r="K6" s="47">
        <f t="shared" si="1"/>
        <v>1341900000</v>
      </c>
      <c r="L6" s="47">
        <f t="shared" si="1"/>
        <v>5491800000</v>
      </c>
      <c r="M6" s="47">
        <f t="shared" si="1"/>
        <v>5040000</v>
      </c>
      <c r="N6" s="47">
        <f t="shared" si="1"/>
        <v>5040000</v>
      </c>
      <c r="O6" s="47">
        <f t="shared" si="1"/>
        <v>279900000</v>
      </c>
      <c r="P6" s="47">
        <f t="shared" si="1"/>
        <v>300000000</v>
      </c>
      <c r="Q6" s="48">
        <f t="shared" si="1"/>
        <v>400000000</v>
      </c>
    </row>
    <row r="7" spans="1:17" s="50" customFormat="1" ht="15" x14ac:dyDescent="0.25">
      <c r="A7" s="49" t="str">
        <f>+'2024'!A7</f>
        <v>PILAR 1</v>
      </c>
      <c r="B7" s="49" t="str">
        <f>+'2024'!B7</f>
        <v>BIOTERRITORIO SOSTENIBLE</v>
      </c>
      <c r="C7" s="366"/>
      <c r="D7" s="366"/>
      <c r="E7" s="51"/>
      <c r="F7" s="52">
        <f>SUM(G7:R7)</f>
        <v>13903200000</v>
      </c>
      <c r="G7" s="52">
        <f t="shared" ref="G7:Q7" si="2">G8+G45</f>
        <v>0</v>
      </c>
      <c r="H7" s="52">
        <f t="shared" si="2"/>
        <v>4934920000</v>
      </c>
      <c r="I7" s="52">
        <f t="shared" si="2"/>
        <v>2674500000</v>
      </c>
      <c r="J7" s="52">
        <f t="shared" si="2"/>
        <v>0</v>
      </c>
      <c r="K7" s="52">
        <f t="shared" si="2"/>
        <v>1341900000</v>
      </c>
      <c r="L7" s="52">
        <f t="shared" si="2"/>
        <v>4471800000</v>
      </c>
      <c r="M7" s="52">
        <f t="shared" si="2"/>
        <v>5040000</v>
      </c>
      <c r="N7" s="52">
        <f t="shared" si="2"/>
        <v>5040000</v>
      </c>
      <c r="O7" s="52">
        <f t="shared" si="2"/>
        <v>0</v>
      </c>
      <c r="P7" s="53">
        <f t="shared" si="2"/>
        <v>70000000</v>
      </c>
      <c r="Q7" s="52">
        <f t="shared" si="2"/>
        <v>400000000</v>
      </c>
    </row>
    <row r="8" spans="1:17" s="55" customFormat="1" ht="28.5" customHeight="1" x14ac:dyDescent="0.25">
      <c r="A8" s="54" t="str">
        <f>+'2024'!A8</f>
        <v>PROGRAMA 1.1</v>
      </c>
      <c r="B8" s="54" t="str">
        <f>+'2024'!B8</f>
        <v>BIODIVERSIDAD Y SERVICIOS ECOSITÉMICOS</v>
      </c>
      <c r="C8" s="365"/>
      <c r="D8" s="365"/>
      <c r="E8" s="56"/>
      <c r="F8" s="57">
        <f>SUM(G8:R8)</f>
        <v>10696700000</v>
      </c>
      <c r="G8" s="57">
        <f>+G9+G24+G36</f>
        <v>0</v>
      </c>
      <c r="H8" s="57">
        <f t="shared" ref="H8:Q8" si="3">+H9+H24+H36</f>
        <v>2539920000</v>
      </c>
      <c r="I8" s="57">
        <f t="shared" si="3"/>
        <v>1863000000</v>
      </c>
      <c r="J8" s="57">
        <f t="shared" si="3"/>
        <v>0</v>
      </c>
      <c r="K8" s="57">
        <f t="shared" si="3"/>
        <v>1341900000</v>
      </c>
      <c r="L8" s="57">
        <f t="shared" si="3"/>
        <v>4471800000</v>
      </c>
      <c r="M8" s="57">
        <f t="shared" si="3"/>
        <v>5040000</v>
      </c>
      <c r="N8" s="57">
        <f t="shared" si="3"/>
        <v>5040000</v>
      </c>
      <c r="O8" s="57">
        <f t="shared" si="3"/>
        <v>0</v>
      </c>
      <c r="P8" s="58">
        <f t="shared" si="3"/>
        <v>70000000</v>
      </c>
      <c r="Q8" s="57">
        <f t="shared" si="3"/>
        <v>400000000</v>
      </c>
    </row>
    <row r="9" spans="1:17" s="62" customFormat="1" ht="39.75" customHeight="1" x14ac:dyDescent="0.25">
      <c r="A9" s="59" t="str">
        <f>+'2024'!A9</f>
        <v>PROYECTO 1.1.1</v>
      </c>
      <c r="B9" s="60" t="str">
        <f>+'2024'!B9</f>
        <v xml:space="preserve">Acciones para la conservación de la  biodiversidad y sus servicios ecosistémicos  </v>
      </c>
      <c r="C9" s="59" t="s">
        <v>56</v>
      </c>
      <c r="D9" s="61">
        <v>3202</v>
      </c>
      <c r="E9" s="63"/>
      <c r="F9" s="64">
        <f>SUM(G9:R9)</f>
        <v>6478700000</v>
      </c>
      <c r="G9" s="64">
        <f>SUM(G11:G22)</f>
        <v>0</v>
      </c>
      <c r="H9" s="64">
        <f t="shared" ref="H9:Q9" si="4">SUM(H11:H23)</f>
        <v>414960000</v>
      </c>
      <c r="I9" s="64">
        <f t="shared" si="4"/>
        <v>725000000</v>
      </c>
      <c r="J9" s="64">
        <f t="shared" si="4"/>
        <v>0</v>
      </c>
      <c r="K9" s="64">
        <f t="shared" si="4"/>
        <v>991900000</v>
      </c>
      <c r="L9" s="64">
        <f t="shared" si="4"/>
        <v>3871800000</v>
      </c>
      <c r="M9" s="64">
        <f t="shared" si="4"/>
        <v>5040000</v>
      </c>
      <c r="N9" s="64">
        <f t="shared" si="4"/>
        <v>0</v>
      </c>
      <c r="O9" s="64">
        <f t="shared" si="4"/>
        <v>0</v>
      </c>
      <c r="P9" s="64">
        <f t="shared" si="4"/>
        <v>70000000</v>
      </c>
      <c r="Q9" s="64">
        <f t="shared" si="4"/>
        <v>400000000</v>
      </c>
    </row>
    <row r="10" spans="1:17" s="158" customFormat="1" ht="30" x14ac:dyDescent="0.25">
      <c r="A10" s="66" t="str">
        <f>+'2024'!A10</f>
        <v>CODIGO</v>
      </c>
      <c r="B10" s="66" t="str">
        <f>+'2024'!B10</f>
        <v>ACCIONES 
(INFINITIVO)</v>
      </c>
      <c r="C10" s="66" t="str">
        <f>+'2024'!C10</f>
        <v>UNIDAD 
DE MEDIDA</v>
      </c>
      <c r="D10" s="66" t="str">
        <f>+'2024'!D10</f>
        <v>INDICADOR 
FÓRMULA</v>
      </c>
      <c r="E10" s="155" t="s">
        <v>393</v>
      </c>
      <c r="F10" s="161" t="s">
        <v>394</v>
      </c>
      <c r="P10" s="159"/>
      <c r="Q10" s="160"/>
    </row>
    <row r="11" spans="1:17" ht="48" customHeight="1" x14ac:dyDescent="0.25">
      <c r="A11" s="73" t="str">
        <f>+'2024'!A11</f>
        <v>1.1.1.1</v>
      </c>
      <c r="B11" s="73" t="str">
        <f>+'2024'!B11</f>
        <v xml:space="preserve">Restaurar áreas de especial importancia ambiental para la conservación de la biodiversidad y sus servicios ecosistemicos </v>
      </c>
      <c r="C11" s="73" t="str">
        <f>+'2024'!C11</f>
        <v>Número</v>
      </c>
      <c r="D11" s="73" t="str">
        <f>+'2024'!D11</f>
        <v># de Hectareas de áreas de ecosistemas en restauración, rehabilitación y reforestación</v>
      </c>
      <c r="E11" s="75">
        <v>55</v>
      </c>
      <c r="F11" s="76">
        <f t="shared" ref="F11:F24" si="5">SUM(G11:R11)</f>
        <v>891900000</v>
      </c>
      <c r="G11" s="77"/>
      <c r="H11" s="78"/>
      <c r="I11" s="78"/>
      <c r="J11" s="78"/>
      <c r="K11" s="78">
        <f>1341900000-650000000+100000000</f>
        <v>791900000</v>
      </c>
      <c r="L11" s="78"/>
      <c r="M11" s="78"/>
      <c r="N11" s="78"/>
      <c r="O11" s="79"/>
      <c r="P11" s="79"/>
      <c r="Q11" s="39">
        <v>100000000</v>
      </c>
    </row>
    <row r="12" spans="1:17" ht="51" customHeight="1" x14ac:dyDescent="0.25">
      <c r="A12" s="73" t="str">
        <f>+'2024'!A12</f>
        <v>1.1.1.2</v>
      </c>
      <c r="B12" s="73" t="str">
        <f>+'2024'!B12</f>
        <v>Implementar planes de manejo para prevenir, controlar y manejar especies invasoras de flora</v>
      </c>
      <c r="C12" s="73" t="str">
        <f>+'2024'!C12</f>
        <v>Número</v>
      </c>
      <c r="D12" s="73" t="str">
        <f>+'2024'!D12</f>
        <v xml:space="preserve"># de planes de manejo </v>
      </c>
      <c r="E12" s="75">
        <v>1</v>
      </c>
      <c r="F12" s="46">
        <f t="shared" si="5"/>
        <v>80000000</v>
      </c>
      <c r="G12" s="80"/>
      <c r="H12" s="78">
        <v>50000000</v>
      </c>
      <c r="I12" s="78">
        <v>30000000</v>
      </c>
      <c r="J12" s="78"/>
      <c r="K12" s="78"/>
      <c r="L12" s="78"/>
      <c r="M12" s="78"/>
      <c r="N12" s="78"/>
      <c r="O12" s="79"/>
      <c r="P12" s="79"/>
      <c r="Q12" s="39"/>
    </row>
    <row r="13" spans="1:17" ht="51.75" customHeight="1" x14ac:dyDescent="0.25">
      <c r="A13" s="73" t="str">
        <f>+'2024'!A13</f>
        <v>1.1.1.3</v>
      </c>
      <c r="B13" s="73" t="str">
        <f>+'2024'!B13</f>
        <v xml:space="preserve">Asegurar la operatividad de los CAV de Flora </v>
      </c>
      <c r="C13" s="73" t="str">
        <f>+'2024'!C13</f>
        <v>Número</v>
      </c>
      <c r="D13" s="73" t="str">
        <f>+'2024'!D13</f>
        <v># de CAV</v>
      </c>
      <c r="E13" s="75">
        <v>1</v>
      </c>
      <c r="F13" s="46">
        <f t="shared" si="5"/>
        <v>180000000</v>
      </c>
      <c r="G13" s="80"/>
      <c r="H13" s="78">
        <f>140000000-5040000</f>
        <v>134960000</v>
      </c>
      <c r="I13" s="78">
        <v>40000000</v>
      </c>
      <c r="J13" s="78"/>
      <c r="K13" s="78"/>
      <c r="L13" s="78"/>
      <c r="M13" s="78">
        <v>5040000</v>
      </c>
      <c r="N13" s="78"/>
      <c r="O13" s="79"/>
      <c r="P13" s="79"/>
      <c r="Q13" s="39"/>
    </row>
    <row r="14" spans="1:17" ht="47.25" customHeight="1" x14ac:dyDescent="0.25">
      <c r="A14" s="73" t="str">
        <f>+'2024'!A14</f>
        <v>1.1.1.4</v>
      </c>
      <c r="B14" s="73" t="str">
        <f>+'2024'!B14</f>
        <v>Implementar planes de manejo y acciones para la conservación de especies amenazadas de flora</v>
      </c>
      <c r="C14" s="73" t="str">
        <f>+'2024'!C14</f>
        <v>Número</v>
      </c>
      <c r="D14" s="73" t="str">
        <f>+'2024'!D14</f>
        <v xml:space="preserve"># de planes de manejo </v>
      </c>
      <c r="E14" s="75"/>
      <c r="F14" s="46">
        <f t="shared" si="5"/>
        <v>0</v>
      </c>
      <c r="G14" s="80"/>
      <c r="H14" s="78"/>
      <c r="I14" s="78"/>
      <c r="J14" s="78"/>
      <c r="K14" s="78"/>
      <c r="L14" s="78"/>
      <c r="M14" s="78"/>
      <c r="N14" s="78"/>
      <c r="O14" s="79"/>
      <c r="P14" s="79"/>
      <c r="Q14" s="39"/>
    </row>
    <row r="15" spans="1:17" ht="45.75" customHeight="1" x14ac:dyDescent="0.25">
      <c r="A15" s="73" t="str">
        <f>+'2024'!A15</f>
        <v>1.1.1.5</v>
      </c>
      <c r="B15" s="73" t="str">
        <f>+'2024'!B15</f>
        <v xml:space="preserve">Implementar proyecto de desarrollo forestal sostenible </v>
      </c>
      <c r="C15" s="73" t="str">
        <f>+'2024'!C15</f>
        <v>Número</v>
      </c>
      <c r="D15" s="73" t="str">
        <f>+'2024'!D15</f>
        <v>#proyecto de desarrollo forestal sostenible</v>
      </c>
      <c r="E15" s="81">
        <v>1</v>
      </c>
      <c r="F15" s="46">
        <f t="shared" si="5"/>
        <v>100000000</v>
      </c>
      <c r="G15" s="258"/>
      <c r="H15" s="78"/>
      <c r="I15" s="78">
        <v>100000000</v>
      </c>
      <c r="J15" s="78"/>
      <c r="K15" s="78"/>
      <c r="L15" s="78"/>
      <c r="M15" s="78"/>
      <c r="N15" s="78"/>
      <c r="O15" s="79"/>
      <c r="P15" s="79"/>
      <c r="Q15" s="39"/>
    </row>
    <row r="16" spans="1:17" ht="45" x14ac:dyDescent="0.25">
      <c r="A16" s="73" t="str">
        <f>+'2024'!A16</f>
        <v>1.1.1.6</v>
      </c>
      <c r="B16" s="73" t="str">
        <f>+'2024'!B16</f>
        <v xml:space="preserve">Implementar estrátegias de incentivos para la conservación de la biodiversidad y sus servicios ecosistémicos </v>
      </c>
      <c r="C16" s="73" t="str">
        <f>+'2024'!C16</f>
        <v>Número</v>
      </c>
      <c r="D16" s="73" t="str">
        <f>+'2024'!D16</f>
        <v># de estrategias de pagos por servicios ambientales implementadas</v>
      </c>
      <c r="E16" s="82">
        <v>1</v>
      </c>
      <c r="F16" s="46">
        <f t="shared" si="5"/>
        <v>120000000</v>
      </c>
      <c r="G16" s="80"/>
      <c r="H16" s="78"/>
      <c r="I16" s="78">
        <v>120000000</v>
      </c>
      <c r="J16" s="78"/>
      <c r="K16" s="78"/>
      <c r="L16" s="78"/>
      <c r="M16" s="78"/>
      <c r="N16" s="78"/>
      <c r="O16" s="79"/>
      <c r="P16" s="79"/>
      <c r="Q16" s="39"/>
    </row>
    <row r="17" spans="1:18" ht="45.75" customHeight="1" x14ac:dyDescent="0.25">
      <c r="A17" s="73" t="str">
        <f>+'2024'!A17</f>
        <v>1.1.1.7</v>
      </c>
      <c r="B17" s="73" t="str">
        <f>+'2024'!B17</f>
        <v>Prevenir y controlar la contaminación hídrica (saneamiento básico rural)</v>
      </c>
      <c r="C17" s="73" t="str">
        <f>+'2024'!C17</f>
        <v>Número</v>
      </c>
      <c r="D17" s="73" t="str">
        <f>+'2024'!D17</f>
        <v xml:space="preserve"># de unidades de saneamiento básico rural </v>
      </c>
      <c r="E17" s="1">
        <v>115</v>
      </c>
      <c r="F17" s="46">
        <f t="shared" si="5"/>
        <v>853824400</v>
      </c>
      <c r="G17" s="85"/>
      <c r="H17" s="78"/>
      <c r="I17" s="78"/>
      <c r="J17" s="78"/>
      <c r="K17" s="78"/>
      <c r="L17" s="3">
        <v>853824400</v>
      </c>
      <c r="M17" s="78"/>
      <c r="N17" s="78"/>
      <c r="O17" s="79"/>
      <c r="P17" s="79"/>
      <c r="Q17" s="39"/>
    </row>
    <row r="18" spans="1:18" ht="45.75" customHeight="1" x14ac:dyDescent="0.25">
      <c r="A18" s="73" t="str">
        <f>+'2024'!A18</f>
        <v>1.1.1.8</v>
      </c>
      <c r="B18" s="73" t="str">
        <f>+'2024'!B18</f>
        <v>Prevenir y controlar la contaminación hídrica (saneamiento básico urbano)</v>
      </c>
      <c r="C18" s="73" t="str">
        <f>+'2024'!C18</f>
        <v>Número</v>
      </c>
      <c r="D18" s="73" t="str">
        <f>+'2024'!D18</f>
        <v># de municipios con obras  saneamiento básico urbano</v>
      </c>
      <c r="E18" s="2">
        <v>3</v>
      </c>
      <c r="F18" s="46">
        <f t="shared" si="5"/>
        <v>3087975600</v>
      </c>
      <c r="G18" s="86"/>
      <c r="H18" s="78"/>
      <c r="I18" s="78"/>
      <c r="J18" s="78"/>
      <c r="K18" s="78"/>
      <c r="L18" s="4">
        <f>2734582920-320000000+503392680+100000000</f>
        <v>3017975600</v>
      </c>
      <c r="M18" s="78"/>
      <c r="N18" s="78"/>
      <c r="O18" s="79"/>
      <c r="P18" s="79">
        <v>70000000</v>
      </c>
      <c r="Q18" s="39"/>
    </row>
    <row r="19" spans="1:18" ht="48.75" customHeight="1" x14ac:dyDescent="0.25">
      <c r="A19" s="73" t="str">
        <f>+'2024'!A19</f>
        <v>1.1.1.9</v>
      </c>
      <c r="B19" s="73" t="str">
        <f>+'2024'!B19</f>
        <v xml:space="preserve">Implementar acciones de los planes de manejo de áreas protegidas y ecosistemas estrátegicos </v>
      </c>
      <c r="C19" s="73" t="str">
        <f>+'2024'!C19</f>
        <v>Número</v>
      </c>
      <c r="D19" s="73" t="str">
        <f>+'2024'!D19</f>
        <v># planes de manejo con  acciones implementadas</v>
      </c>
      <c r="E19" s="87">
        <v>3</v>
      </c>
      <c r="F19" s="46">
        <f t="shared" si="5"/>
        <v>350000000</v>
      </c>
      <c r="G19" s="80"/>
      <c r="H19" s="78"/>
      <c r="I19" s="78">
        <v>150000000</v>
      </c>
      <c r="J19" s="78"/>
      <c r="K19" s="78">
        <v>200000000</v>
      </c>
      <c r="L19" s="78"/>
      <c r="M19" s="78"/>
      <c r="N19" s="78"/>
      <c r="O19" s="79"/>
      <c r="P19" s="79"/>
      <c r="Q19" s="39"/>
    </row>
    <row r="20" spans="1:18" ht="64.5" customHeight="1" x14ac:dyDescent="0.25">
      <c r="A20" s="73" t="str">
        <f>+'2024'!A20</f>
        <v>1.1.1.10</v>
      </c>
      <c r="B20" s="73" t="str">
        <f>+'2024'!B20</f>
        <v>Implementar otras estrategias de conservación  y  apoyar la declaratoria de las  Reservas Naturales de la Sociedad Civil</v>
      </c>
      <c r="C20" s="73" t="str">
        <f>+'2024'!C20</f>
        <v>Número</v>
      </c>
      <c r="D20" s="73" t="str">
        <f>+'2024'!D20</f>
        <v># de predios con otras estratégias de conservación implementadas</v>
      </c>
      <c r="E20" s="75">
        <v>5</v>
      </c>
      <c r="F20" s="46">
        <f t="shared" si="5"/>
        <v>150000000</v>
      </c>
      <c r="G20" s="80"/>
      <c r="H20" s="78">
        <v>70000000</v>
      </c>
      <c r="I20" s="78">
        <v>80000000</v>
      </c>
      <c r="J20" s="78"/>
      <c r="K20" s="78"/>
      <c r="L20" s="78"/>
      <c r="M20" s="78"/>
      <c r="N20" s="78"/>
      <c r="O20" s="79"/>
      <c r="P20" s="79"/>
      <c r="Q20" s="39"/>
    </row>
    <row r="21" spans="1:18" ht="44.25" customHeight="1" x14ac:dyDescent="0.25">
      <c r="A21" s="73" t="str">
        <f>+'2024'!A21</f>
        <v>1.1.1.11</v>
      </c>
      <c r="B21" s="73" t="str">
        <f>+'2024'!B21</f>
        <v xml:space="preserve">Apoyar proyectos de uso sostenible de la biodiversidad y sus servicios ecosistemicos </v>
      </c>
      <c r="C21" s="73" t="str">
        <f>+'2024'!C21</f>
        <v>Número</v>
      </c>
      <c r="D21" s="73" t="str">
        <f>+'2024'!D21</f>
        <v># de proyectos apoyados</v>
      </c>
      <c r="E21" s="82">
        <v>3</v>
      </c>
      <c r="F21" s="46">
        <f t="shared" si="5"/>
        <v>280000000</v>
      </c>
      <c r="G21" s="99"/>
      <c r="H21" s="129">
        <v>80000000</v>
      </c>
      <c r="I21" s="129">
        <v>100000000</v>
      </c>
      <c r="J21" s="129"/>
      <c r="K21" s="129"/>
      <c r="L21" s="129"/>
      <c r="M21" s="129"/>
      <c r="N21" s="129"/>
      <c r="O21" s="130"/>
      <c r="P21" s="130"/>
      <c r="Q21" s="154">
        <v>100000000</v>
      </c>
    </row>
    <row r="22" spans="1:18" ht="66.75" customHeight="1" x14ac:dyDescent="0.25">
      <c r="A22" s="73" t="str">
        <f>+'2024'!A22</f>
        <v>1.1.1.12</v>
      </c>
      <c r="B22" s="73" t="str">
        <f>+'2024'!B22</f>
        <v xml:space="preserve">Asesorar a los entes territoriales y otros actores para la conservacion, manejo y uso sostenible de la Biodiversidad y sus servicios ecosistemicos </v>
      </c>
      <c r="C22" s="73" t="str">
        <f>+'2024'!C22</f>
        <v>Número</v>
      </c>
      <c r="D22" s="73" t="str">
        <f>+'2024'!D22</f>
        <v># de municipios asesorados</v>
      </c>
      <c r="E22" s="81">
        <v>27</v>
      </c>
      <c r="F22" s="257">
        <f t="shared" si="5"/>
        <v>280000000</v>
      </c>
      <c r="G22" s="40"/>
      <c r="H22" s="39">
        <v>80000000</v>
      </c>
      <c r="I22" s="39"/>
      <c r="J22" s="103"/>
      <c r="K22" s="154"/>
      <c r="L22" s="154"/>
      <c r="M22" s="154"/>
      <c r="N22" s="154"/>
      <c r="O22" s="154"/>
      <c r="P22" s="154"/>
      <c r="Q22" s="39">
        <v>200000000</v>
      </c>
    </row>
    <row r="23" spans="1:18" ht="99" customHeight="1" x14ac:dyDescent="0.25">
      <c r="A23" s="98" t="str">
        <f>+'2024'!A23</f>
        <v>1.1.1.13</v>
      </c>
      <c r="B23" s="98" t="str">
        <f>+'2024'!B23</f>
        <v>Impulsar el desarrollo de sistemas regenerativos de producción agrícola y pecuaria agroecológica, como soporte de la recuperación de la biodiversidad, los suelos y la conectividad funcional.</v>
      </c>
      <c r="C23" s="98" t="str">
        <f>+'2024'!C23</f>
        <v>Número</v>
      </c>
      <c r="D23" s="98" t="str">
        <f>+'2024'!D23</f>
        <v># de iniciativas apoyadas</v>
      </c>
      <c r="E23" s="343">
        <v>7</v>
      </c>
      <c r="F23" s="257">
        <f t="shared" si="5"/>
        <v>105000000</v>
      </c>
      <c r="G23" s="40"/>
      <c r="H23" s="39"/>
      <c r="I23" s="39">
        <v>105000000</v>
      </c>
      <c r="J23" s="103"/>
      <c r="K23" s="39"/>
      <c r="L23" s="39"/>
      <c r="M23" s="39"/>
      <c r="N23" s="39"/>
      <c r="O23" s="39"/>
      <c r="P23" s="39"/>
      <c r="Q23" s="266"/>
    </row>
    <row r="24" spans="1:18" s="89" customFormat="1" ht="48" customHeight="1" x14ac:dyDescent="0.25">
      <c r="A24" s="284" t="str">
        <f>+'2024'!A24</f>
        <v>PROYECTO 1.1.2</v>
      </c>
      <c r="B24" s="284" t="str">
        <f>+'2024'!B24</f>
        <v xml:space="preserve">Gestion del conocimiento e innovación para la conservación y uso sostenible de la biodiversidad y sus servicios ecosistémicos </v>
      </c>
      <c r="C24" s="284" t="str">
        <f>+'2024'!C24</f>
        <v>CÓDIGO DNP</v>
      </c>
      <c r="D24" s="284">
        <f>+'2024'!D24</f>
        <v>3202</v>
      </c>
      <c r="E24" s="105"/>
      <c r="F24" s="135">
        <f t="shared" si="5"/>
        <v>2580000000</v>
      </c>
      <c r="G24" s="93">
        <f>SUM(G26:G34)</f>
        <v>0</v>
      </c>
      <c r="H24" s="93">
        <f t="shared" ref="H24:R24" si="6">SUM(H26:H35)</f>
        <v>1180000000</v>
      </c>
      <c r="I24" s="93">
        <f t="shared" si="6"/>
        <v>450000000</v>
      </c>
      <c r="J24" s="93">
        <f t="shared" si="6"/>
        <v>0</v>
      </c>
      <c r="K24" s="93">
        <f t="shared" si="6"/>
        <v>350000000</v>
      </c>
      <c r="L24" s="93">
        <f t="shared" si="6"/>
        <v>600000000</v>
      </c>
      <c r="M24" s="93">
        <f t="shared" si="6"/>
        <v>0</v>
      </c>
      <c r="N24" s="93">
        <f t="shared" si="6"/>
        <v>0</v>
      </c>
      <c r="O24" s="93">
        <f t="shared" si="6"/>
        <v>0</v>
      </c>
      <c r="P24" s="93">
        <f t="shared" si="6"/>
        <v>0</v>
      </c>
      <c r="Q24" s="93">
        <f t="shared" si="6"/>
        <v>0</v>
      </c>
      <c r="R24" s="93">
        <f t="shared" si="6"/>
        <v>0</v>
      </c>
    </row>
    <row r="25" spans="1:18" s="158" customFormat="1" ht="37.5" customHeight="1" x14ac:dyDescent="0.25">
      <c r="A25" s="282" t="str">
        <f>+'2024'!A25</f>
        <v>CODIGO</v>
      </c>
      <c r="B25" s="282" t="str">
        <f>+'2024'!B25</f>
        <v>ACCIONES 
(INFINITIVO)</v>
      </c>
      <c r="C25" s="282" t="str">
        <f>+'2024'!C25</f>
        <v>UNIDAD 
DE MEDIDA</v>
      </c>
      <c r="D25" s="282" t="str">
        <f>+'2024'!D25</f>
        <v>INDICADOR 
FÓRMULA</v>
      </c>
      <c r="E25" s="155" t="s">
        <v>393</v>
      </c>
      <c r="F25" s="157" t="s">
        <v>394</v>
      </c>
      <c r="G25" s="259"/>
      <c r="H25" s="160"/>
      <c r="I25" s="160"/>
      <c r="J25" s="160"/>
      <c r="K25" s="261"/>
      <c r="L25" s="162"/>
      <c r="M25" s="162"/>
      <c r="N25" s="162"/>
      <c r="O25" s="159"/>
      <c r="P25" s="159"/>
      <c r="Q25" s="160"/>
    </row>
    <row r="26" spans="1:18" ht="36.75" customHeight="1" x14ac:dyDescent="0.25">
      <c r="A26" s="73" t="str">
        <f>+'2024'!A26</f>
        <v>1.1.2.1</v>
      </c>
      <c r="B26" s="73" t="str">
        <f>+'2024'!B26</f>
        <v xml:space="preserve">Realizar análisis de efectividad de áreas protegidas </v>
      </c>
      <c r="C26" s="73" t="str">
        <f>+'2024'!C26</f>
        <v>Número</v>
      </c>
      <c r="D26" s="73" t="str">
        <f>+'2024'!D26</f>
        <v># de AP con análisis de efectividad</v>
      </c>
      <c r="E26" s="96">
        <v>16</v>
      </c>
      <c r="F26" s="257">
        <f t="shared" ref="F26:F33" si="7">SUM(G26:R26)</f>
        <v>80000000</v>
      </c>
      <c r="G26" s="260"/>
      <c r="H26" s="39">
        <v>80000000</v>
      </c>
      <c r="I26" s="39"/>
      <c r="J26" s="39"/>
      <c r="K26" s="262"/>
      <c r="L26" s="78"/>
      <c r="M26" s="78"/>
      <c r="N26" s="78"/>
      <c r="O26" s="79"/>
      <c r="P26" s="79"/>
      <c r="Q26" s="39"/>
    </row>
    <row r="27" spans="1:18" ht="30.75" customHeight="1" x14ac:dyDescent="0.25">
      <c r="A27" s="73" t="str">
        <f>+'2024'!A27</f>
        <v>1.1.2.2</v>
      </c>
      <c r="B27" s="73" t="str">
        <f>+'2024'!B27</f>
        <v>Realizar estudios de biodiversidad y servicios ecosistémicos para actualizar la línea base del departamento</v>
      </c>
      <c r="C27" s="73" t="str">
        <f>+'2024'!C27</f>
        <v>Número</v>
      </c>
      <c r="D27" s="73" t="str">
        <f>+'2024'!D27</f>
        <v># de estudios de biodiversidad</v>
      </c>
      <c r="E27" s="96">
        <v>1</v>
      </c>
      <c r="F27" s="257">
        <f t="shared" si="7"/>
        <v>140000000</v>
      </c>
      <c r="G27" s="260"/>
      <c r="H27" s="39">
        <v>140000000</v>
      </c>
      <c r="I27" s="39"/>
      <c r="J27" s="39"/>
      <c r="K27" s="262"/>
      <c r="L27" s="78"/>
      <c r="M27" s="78"/>
      <c r="N27" s="78"/>
      <c r="O27" s="79"/>
      <c r="P27" s="79"/>
      <c r="Q27" s="39"/>
    </row>
    <row r="28" spans="1:18" ht="51" customHeight="1" x14ac:dyDescent="0.25">
      <c r="A28" s="73" t="str">
        <f>+'2024'!A28</f>
        <v>1.1.2.3</v>
      </c>
      <c r="B28" s="73" t="str">
        <f>+'2024'!B28</f>
        <v>Realizar estudios de capacidad de carga turística en áreas ambientales estratégicas para reglamentar el ecoturismo</v>
      </c>
      <c r="C28" s="73" t="str">
        <f>+'2024'!C28</f>
        <v>Número</v>
      </c>
      <c r="D28" s="73" t="str">
        <f>+'2024'!D28</f>
        <v># de estudios de capacidad de carga</v>
      </c>
      <c r="E28" s="96">
        <v>1</v>
      </c>
      <c r="F28" s="46">
        <f t="shared" si="7"/>
        <v>50000000</v>
      </c>
      <c r="G28" s="263"/>
      <c r="H28" s="264"/>
      <c r="I28" s="264">
        <v>50000000</v>
      </c>
      <c r="J28" s="264"/>
      <c r="K28" s="78"/>
      <c r="L28" s="78"/>
      <c r="M28" s="78"/>
      <c r="N28" s="78"/>
      <c r="O28" s="79"/>
      <c r="P28" s="79"/>
      <c r="Q28" s="39"/>
    </row>
    <row r="29" spans="1:18" ht="25.5" customHeight="1" x14ac:dyDescent="0.25">
      <c r="A29" s="73" t="str">
        <f>+'2024'!A29</f>
        <v>1.1.2.4</v>
      </c>
      <c r="B29" s="73" t="str">
        <f>+'2024'!B29</f>
        <v>Realizar estudios de calidad de aire</v>
      </c>
      <c r="C29" s="73" t="str">
        <f>+'2024'!C29</f>
        <v>Número</v>
      </c>
      <c r="D29" s="73" t="str">
        <f>+'2024'!D29</f>
        <v># de estudios de calidad de aire</v>
      </c>
      <c r="E29" s="96">
        <v>1</v>
      </c>
      <c r="F29" s="46">
        <f t="shared" si="7"/>
        <v>100000000</v>
      </c>
      <c r="G29" s="97"/>
      <c r="H29" s="78">
        <v>100000000</v>
      </c>
      <c r="I29" s="78"/>
      <c r="J29" s="78"/>
      <c r="K29" s="78"/>
      <c r="L29" s="78"/>
      <c r="M29" s="78"/>
      <c r="N29" s="78"/>
      <c r="O29" s="79"/>
      <c r="P29" s="79"/>
      <c r="Q29" s="39"/>
    </row>
    <row r="30" spans="1:18" ht="47.25" customHeight="1" x14ac:dyDescent="0.25">
      <c r="A30" s="73" t="str">
        <f>+'2024'!A30</f>
        <v>1.1.2.5</v>
      </c>
      <c r="B30" s="73" t="str">
        <f>+'2024'!B30</f>
        <v>Ampliar y garantizar la operación y el mantenimiento de las  redes de monitoreo</v>
      </c>
      <c r="C30" s="73" t="str">
        <f>+'2024'!C30</f>
        <v>Número</v>
      </c>
      <c r="D30" s="73" t="str">
        <f>+'2024'!D30</f>
        <v>Número de redes de monitoreo en operación</v>
      </c>
      <c r="E30" s="96">
        <v>6</v>
      </c>
      <c r="F30" s="46">
        <f t="shared" si="7"/>
        <v>1550000000</v>
      </c>
      <c r="G30" s="97"/>
      <c r="H30" s="78">
        <v>600000000</v>
      </c>
      <c r="I30" s="78"/>
      <c r="J30" s="78"/>
      <c r="K30" s="78">
        <v>350000000</v>
      </c>
      <c r="L30" s="78">
        <v>600000000</v>
      </c>
      <c r="M30" s="78"/>
      <c r="N30" s="78"/>
      <c r="O30" s="79"/>
      <c r="P30" s="79"/>
      <c r="Q30" s="39"/>
    </row>
    <row r="31" spans="1:18" ht="36.75" customHeight="1" x14ac:dyDescent="0.25">
      <c r="A31" s="73" t="str">
        <f>+'2024'!A31</f>
        <v>1.1.2.6</v>
      </c>
      <c r="B31" s="73" t="str">
        <f>+'2024'!B31</f>
        <v>Garantizar el funcionamiento del Sistema Información Ambiental</v>
      </c>
      <c r="C31" s="73" t="str">
        <f>+'2024'!C31</f>
        <v>Número</v>
      </c>
      <c r="D31" s="73" t="str">
        <f>+'2024'!D31</f>
        <v>Sistema de información regional funcionando</v>
      </c>
      <c r="E31" s="96">
        <v>1</v>
      </c>
      <c r="F31" s="46">
        <f t="shared" si="7"/>
        <v>150000000</v>
      </c>
      <c r="G31" s="97"/>
      <c r="H31" s="78">
        <v>150000000</v>
      </c>
      <c r="I31" s="78"/>
      <c r="J31" s="78"/>
      <c r="K31" s="78"/>
      <c r="L31" s="78"/>
      <c r="M31" s="78"/>
      <c r="N31" s="78"/>
      <c r="O31" s="79"/>
      <c r="P31" s="79"/>
      <c r="Q31" s="39"/>
    </row>
    <row r="32" spans="1:18" ht="45" x14ac:dyDescent="0.25">
      <c r="A32" s="73" t="str">
        <f>+'2024'!A32</f>
        <v>1.1.2.7</v>
      </c>
      <c r="B32" s="73" t="str">
        <f>+'2024'!B32</f>
        <v xml:space="preserve">Realizar estudios tendientes a la caracterización de la degradación de suelos </v>
      </c>
      <c r="C32" s="73" t="str">
        <f>+'2024'!C32</f>
        <v xml:space="preserve">Porcentaje </v>
      </c>
      <c r="D32" s="73" t="str">
        <f>+'2024'!D32</f>
        <v xml:space="preserve">% estudios de caracterización de la degradación de suelos </v>
      </c>
      <c r="E32" s="247">
        <v>50</v>
      </c>
      <c r="F32" s="46">
        <f t="shared" si="7"/>
        <v>150000000</v>
      </c>
      <c r="G32" s="97"/>
      <c r="H32" s="78"/>
      <c r="I32" s="78">
        <v>150000000</v>
      </c>
      <c r="J32" s="78"/>
      <c r="K32" s="78"/>
      <c r="L32" s="78"/>
      <c r="M32" s="78"/>
      <c r="N32" s="78"/>
      <c r="O32" s="79"/>
      <c r="P32" s="79"/>
      <c r="Q32" s="39"/>
    </row>
    <row r="33" spans="1:41" ht="45" customHeight="1" x14ac:dyDescent="0.25">
      <c r="A33" s="73" t="str">
        <f>+'2024'!A33</f>
        <v>1.1.2.8</v>
      </c>
      <c r="B33" s="73" t="str">
        <f>+'2024'!B33</f>
        <v>Ampliar el conocimiento hidrogeologico de la región centro sur del departamento de Caldas</v>
      </c>
      <c r="C33" s="73" t="str">
        <f>+'2024'!C33</f>
        <v xml:space="preserve">Porcentaje </v>
      </c>
      <c r="D33" s="73" t="str">
        <f>+'2024'!D33</f>
        <v>% de estudios Fases I y II</v>
      </c>
      <c r="E33" s="248">
        <v>100</v>
      </c>
      <c r="F33" s="46">
        <f t="shared" si="7"/>
        <v>180000000</v>
      </c>
      <c r="G33" s="80"/>
      <c r="H33" s="100"/>
      <c r="I33" s="78">
        <v>180000000</v>
      </c>
      <c r="J33" s="78"/>
      <c r="K33" s="78"/>
      <c r="L33" s="78"/>
      <c r="M33" s="78"/>
      <c r="N33" s="78"/>
      <c r="O33" s="79"/>
      <c r="P33" s="79"/>
      <c r="Q33" s="39"/>
    </row>
    <row r="34" spans="1:41" ht="48.75" customHeight="1" x14ac:dyDescent="0.25">
      <c r="A34" s="73" t="str">
        <f>+'2024'!A34</f>
        <v>1.1.2.9</v>
      </c>
      <c r="B34" s="73" t="str">
        <f>+'2024'!B34</f>
        <v>Desarrollar programa de monitoreo participativo en torno a la biodiversidad y los servicios ecosistemicos</v>
      </c>
      <c r="C34" s="73" t="str">
        <f>+'2024'!C34</f>
        <v>Número</v>
      </c>
      <c r="D34" s="73" t="str">
        <f>+'2024'!D34</f>
        <v xml:space="preserve"> Programa de Monitoreo Participativo</v>
      </c>
      <c r="E34" s="253">
        <v>1</v>
      </c>
      <c r="F34" s="251">
        <f>SUM(H34:AO34)</f>
        <v>120000000</v>
      </c>
      <c r="G34" s="251"/>
      <c r="H34" s="154">
        <v>110000000</v>
      </c>
      <c r="I34" s="154">
        <v>10000000</v>
      </c>
      <c r="J34" s="154"/>
      <c r="K34" s="154"/>
      <c r="L34" s="154"/>
      <c r="M34" s="154"/>
      <c r="N34" s="154"/>
      <c r="O34" s="154"/>
      <c r="P34" s="252"/>
      <c r="Q34" s="154"/>
      <c r="R34" s="10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</row>
    <row r="35" spans="1:41" ht="124.5" customHeight="1" x14ac:dyDescent="0.25">
      <c r="A35" s="98" t="str">
        <f>+'2024'!A35</f>
        <v>1.1.2.10</v>
      </c>
      <c r="B35" s="98" t="str">
        <f>+'2024'!B35</f>
        <v>Adelantar un estudio de caracterización sobre sistemas locales de cosecha y aprovechamiento de agua lluvia y el potencial de la incorporación de su uso doméstico , comercial e industrial como mecanismo de adaptación al cambio climático y de aporte al ahorro y uso eficiente del recurso hídrico</v>
      </c>
      <c r="C35" s="98" t="str">
        <f>+'2024'!C35</f>
        <v xml:space="preserve">Porcentaje </v>
      </c>
      <c r="D35" s="98" t="str">
        <f>+'2024'!D35</f>
        <v>% de estudio de caracterización de cosecha y aprovechamiento de agua lluvia</v>
      </c>
      <c r="E35" s="344">
        <v>50</v>
      </c>
      <c r="F35" s="102">
        <f>SUM(H35:AO35)</f>
        <v>60000000</v>
      </c>
      <c r="G35" s="102"/>
      <c r="H35" s="39"/>
      <c r="I35" s="39">
        <v>60000000</v>
      </c>
      <c r="J35" s="39"/>
      <c r="K35" s="39"/>
      <c r="L35" s="39"/>
      <c r="M35" s="39"/>
      <c r="N35" s="39"/>
      <c r="O35" s="39"/>
      <c r="P35" s="39"/>
      <c r="Q35" s="39"/>
    </row>
    <row r="36" spans="1:41" s="89" customFormat="1" ht="36" customHeight="1" x14ac:dyDescent="0.25">
      <c r="A36" s="281" t="str">
        <f>+'2024'!A36</f>
        <v>PROYECTO 1.1.3</v>
      </c>
      <c r="B36" s="281" t="str">
        <f>+'2024'!B36</f>
        <v>Conservacion y Manejo de la Fauna Silvestre</v>
      </c>
      <c r="C36" s="281" t="str">
        <f>+'2024'!C36</f>
        <v>CÓDIGO DNP</v>
      </c>
      <c r="D36" s="281">
        <f>+'2024'!D36</f>
        <v>3202</v>
      </c>
      <c r="E36" s="105"/>
      <c r="F36" s="172">
        <f>SUM(G36:R36)</f>
        <v>1638000000</v>
      </c>
      <c r="G36" s="106">
        <f t="shared" ref="G36:Q36" si="8">SUM(G38:G44)</f>
        <v>0</v>
      </c>
      <c r="H36" s="106">
        <f t="shared" si="8"/>
        <v>944960000</v>
      </c>
      <c r="I36" s="106">
        <f t="shared" si="8"/>
        <v>688000000</v>
      </c>
      <c r="J36" s="106">
        <f t="shared" si="8"/>
        <v>0</v>
      </c>
      <c r="K36" s="106">
        <f t="shared" si="8"/>
        <v>0</v>
      </c>
      <c r="L36" s="106">
        <f t="shared" si="8"/>
        <v>0</v>
      </c>
      <c r="M36" s="106">
        <f t="shared" si="8"/>
        <v>0</v>
      </c>
      <c r="N36" s="106">
        <f t="shared" si="8"/>
        <v>5040000</v>
      </c>
      <c r="O36" s="106">
        <f t="shared" si="8"/>
        <v>0</v>
      </c>
      <c r="P36" s="106">
        <f t="shared" si="8"/>
        <v>0</v>
      </c>
      <c r="Q36" s="172">
        <f t="shared" si="8"/>
        <v>0</v>
      </c>
    </row>
    <row r="37" spans="1:41" s="158" customFormat="1" ht="30" x14ac:dyDescent="0.25">
      <c r="A37" s="282" t="str">
        <f>+'2024'!A37</f>
        <v>CODIGO</v>
      </c>
      <c r="B37" s="282" t="str">
        <f>+'2024'!B37</f>
        <v>ACCIONES 
(INFINITIVO)</v>
      </c>
      <c r="C37" s="282" t="str">
        <f>+'2024'!C37</f>
        <v>UNIDAD 
DE MEDIDA</v>
      </c>
      <c r="D37" s="282" t="str">
        <f>+'2024'!D37</f>
        <v>INDICADOR 
FÓRMULA</v>
      </c>
      <c r="E37" s="156" t="s">
        <v>393</v>
      </c>
      <c r="F37" s="157" t="s">
        <v>394</v>
      </c>
      <c r="G37" s="161"/>
      <c r="H37" s="162"/>
      <c r="I37" s="162"/>
      <c r="J37" s="162"/>
      <c r="K37" s="162"/>
      <c r="L37" s="162"/>
      <c r="M37" s="162"/>
      <c r="N37" s="162"/>
      <c r="O37" s="159"/>
      <c r="P37" s="159"/>
      <c r="Q37" s="160"/>
    </row>
    <row r="38" spans="1:41" ht="78" customHeight="1" x14ac:dyDescent="0.25">
      <c r="A38" s="73" t="str">
        <f>+'2024'!A38</f>
        <v>1.1.3.1</v>
      </c>
      <c r="B38" s="73" t="str">
        <f>+'2024'!B38</f>
        <v xml:space="preserve">Asegurar la operatividad de los CAV de Fauna de Corpocaldas </v>
      </c>
      <c r="C38" s="73" t="str">
        <f>+'2024'!C38</f>
        <v>Número</v>
      </c>
      <c r="D38" s="73" t="str">
        <f>+'2024'!D38</f>
        <v># de CAV implementados y operando</v>
      </c>
      <c r="E38" s="75">
        <v>3</v>
      </c>
      <c r="F38" s="46">
        <f t="shared" ref="F38:F46" si="9">SUM(G38:R38)</f>
        <v>950000000</v>
      </c>
      <c r="G38" s="80"/>
      <c r="H38" s="78">
        <f>500000000-5040000</f>
        <v>494960000</v>
      </c>
      <c r="I38" s="78">
        <v>450000000</v>
      </c>
      <c r="J38" s="78"/>
      <c r="K38" s="78"/>
      <c r="L38" s="78"/>
      <c r="M38" s="78"/>
      <c r="N38" s="78">
        <v>5040000</v>
      </c>
      <c r="O38" s="79"/>
      <c r="P38" s="79"/>
      <c r="Q38" s="39"/>
    </row>
    <row r="39" spans="1:41" ht="30.75" customHeight="1" x14ac:dyDescent="0.25">
      <c r="A39" s="73" t="str">
        <f>+'2024'!A39</f>
        <v>1.1.3.2</v>
      </c>
      <c r="B39" s="73" t="str">
        <f>+'2024'!B39</f>
        <v>Diseñar e Implementar una estrategia para prevención y control de la casería, el trafico y tenencia ilegal de fauna silvestre</v>
      </c>
      <c r="C39" s="73" t="str">
        <f>+'2024'!C39</f>
        <v>Número</v>
      </c>
      <c r="D39" s="73" t="str">
        <f>+'2024'!D39</f>
        <v xml:space="preserve">Estrategia diseñada e implementada </v>
      </c>
      <c r="E39" s="75">
        <v>1</v>
      </c>
      <c r="F39" s="76">
        <f t="shared" si="9"/>
        <v>80000000</v>
      </c>
      <c r="G39" s="77"/>
      <c r="H39" s="78">
        <v>70000000</v>
      </c>
      <c r="I39" s="78">
        <v>10000000</v>
      </c>
      <c r="J39" s="78"/>
      <c r="K39" s="78"/>
      <c r="L39" s="78"/>
      <c r="M39" s="78"/>
      <c r="N39" s="78"/>
      <c r="O39" s="79"/>
      <c r="P39" s="79"/>
      <c r="Q39" s="39"/>
    </row>
    <row r="40" spans="1:41" ht="30.75" customHeight="1" x14ac:dyDescent="0.25">
      <c r="A40" s="73" t="str">
        <f>+'2024'!A40</f>
        <v>1.1.3.3</v>
      </c>
      <c r="B40" s="73" t="str">
        <f>+'2024'!B40</f>
        <v>Desarrollar acciones para la conservación de especies amenazadas, endémicas y focales con y sin plan de manejo</v>
      </c>
      <c r="C40" s="73" t="str">
        <f>+'2024'!C40</f>
        <v>Número</v>
      </c>
      <c r="D40" s="73" t="str">
        <f>+'2024'!D40</f>
        <v># de especies amenazadas, endémicas y focales con acciones de conservación</v>
      </c>
      <c r="E40" s="75">
        <v>3</v>
      </c>
      <c r="F40" s="46">
        <f t="shared" si="9"/>
        <v>140000000</v>
      </c>
      <c r="G40" s="80"/>
      <c r="H40" s="78">
        <v>90000000</v>
      </c>
      <c r="I40" s="78">
        <v>50000000</v>
      </c>
      <c r="J40" s="78"/>
      <c r="K40" s="78"/>
      <c r="L40" s="78"/>
      <c r="M40" s="78"/>
      <c r="N40" s="78"/>
      <c r="O40" s="79"/>
      <c r="P40" s="79"/>
      <c r="Q40" s="39"/>
    </row>
    <row r="41" spans="1:41" ht="48" customHeight="1" x14ac:dyDescent="0.25">
      <c r="A41" s="73" t="str">
        <f>+'2024'!A41</f>
        <v>1.1.3.4</v>
      </c>
      <c r="B41" s="73" t="str">
        <f>+'2024'!B41</f>
        <v>Consolidar y operar la red de monitoreo de fauna silvestre en ecosistemas naturales y transformados</v>
      </c>
      <c r="C41" s="73" t="str">
        <f>+'2024'!C41</f>
        <v>Número</v>
      </c>
      <c r="D41" s="73" t="str">
        <f>+'2024'!D41</f>
        <v>Red de monitoreo de fauna operando</v>
      </c>
      <c r="E41" s="75">
        <v>1</v>
      </c>
      <c r="F41" s="46">
        <f t="shared" si="9"/>
        <v>88000000</v>
      </c>
      <c r="G41" s="80"/>
      <c r="H41" s="78">
        <v>50000000</v>
      </c>
      <c r="I41" s="78">
        <v>38000000</v>
      </c>
      <c r="J41" s="78"/>
      <c r="K41" s="78"/>
      <c r="L41" s="78"/>
      <c r="M41" s="78"/>
      <c r="N41" s="78"/>
      <c r="O41" s="79"/>
      <c r="P41" s="79"/>
      <c r="Q41" s="39"/>
    </row>
    <row r="42" spans="1:41" ht="30" x14ac:dyDescent="0.25">
      <c r="A42" s="73" t="str">
        <f>+'2024'!A42</f>
        <v>1.1.3.5</v>
      </c>
      <c r="B42" s="73" t="str">
        <f>+'2024'!B42</f>
        <v>Desarrollar monitoreo de los animales liberados y rehabilitados en Corpocaldas</v>
      </c>
      <c r="C42" s="73" t="str">
        <f>+'2024'!C42</f>
        <v xml:space="preserve">Porcentaje </v>
      </c>
      <c r="D42" s="73" t="str">
        <f>+'2024'!D42</f>
        <v xml:space="preserve">% de individuos liberados con monitoreo </v>
      </c>
      <c r="E42" s="254">
        <v>4</v>
      </c>
      <c r="F42" s="46">
        <f t="shared" si="9"/>
        <v>110000000</v>
      </c>
      <c r="G42" s="80"/>
      <c r="H42" s="78">
        <v>60000000</v>
      </c>
      <c r="I42" s="78">
        <v>50000000</v>
      </c>
      <c r="J42" s="78"/>
      <c r="K42" s="78"/>
      <c r="L42" s="78"/>
      <c r="M42" s="78"/>
      <c r="N42" s="78"/>
      <c r="O42" s="79"/>
      <c r="P42" s="79"/>
      <c r="Q42" s="39"/>
    </row>
    <row r="43" spans="1:41" ht="30" x14ac:dyDescent="0.25">
      <c r="A43" s="73" t="str">
        <f>+'2024'!A43</f>
        <v>1.1.3.6</v>
      </c>
      <c r="B43" s="73" t="str">
        <f>+'2024'!B43</f>
        <v>Atender los conflictos reportados por fauna</v>
      </c>
      <c r="C43" s="73" t="str">
        <f>+'2024'!C43</f>
        <v>Porcentaje</v>
      </c>
      <c r="D43" s="73" t="str">
        <f>+'2024'!D43</f>
        <v>% de conflictos atendidos</v>
      </c>
      <c r="E43" s="75">
        <v>100</v>
      </c>
      <c r="F43" s="46">
        <f t="shared" si="9"/>
        <v>110000000</v>
      </c>
      <c r="G43" s="80"/>
      <c r="H43" s="78">
        <v>110000000</v>
      </c>
      <c r="I43" s="78"/>
      <c r="J43" s="78"/>
      <c r="K43" s="78"/>
      <c r="L43" s="78"/>
      <c r="M43" s="78"/>
      <c r="N43" s="78"/>
      <c r="O43" s="79"/>
      <c r="P43" s="79"/>
      <c r="Q43" s="39"/>
    </row>
    <row r="44" spans="1:41" ht="30.75" customHeight="1" x14ac:dyDescent="0.25">
      <c r="A44" s="73" t="str">
        <f>+'2024'!A44</f>
        <v>1.1.3.7</v>
      </c>
      <c r="B44" s="73" t="str">
        <f>+'2024'!B44</f>
        <v xml:space="preserve">Desarrollar acciones para prevenir, controlar y manejar especies exóticas e invasoras de fauna con y sin plan de manejo </v>
      </c>
      <c r="C44" s="73" t="str">
        <f>+'2024'!C44</f>
        <v>Número</v>
      </c>
      <c r="D44" s="73" t="str">
        <f>+'2024'!D44</f>
        <v># de planes de manejo para especies exoticas invasoras y generadoras de conflicto de fauna implementados</v>
      </c>
      <c r="E44" s="75">
        <v>3</v>
      </c>
      <c r="F44" s="46">
        <f t="shared" si="9"/>
        <v>160000000</v>
      </c>
      <c r="G44" s="80"/>
      <c r="H44" s="78">
        <v>70000000</v>
      </c>
      <c r="I44" s="78">
        <v>90000000</v>
      </c>
      <c r="J44" s="78"/>
      <c r="K44" s="78"/>
      <c r="L44" s="78"/>
      <c r="M44" s="78"/>
      <c r="N44" s="78"/>
      <c r="O44" s="79"/>
      <c r="P44" s="79"/>
      <c r="Q44" s="39"/>
    </row>
    <row r="45" spans="1:41" s="55" customFormat="1" ht="32.1" customHeight="1" x14ac:dyDescent="0.25">
      <c r="A45" s="280" t="str">
        <f>+'2024'!A45</f>
        <v>PROGRAMA 1.2</v>
      </c>
      <c r="B45" s="280" t="str">
        <f>+'2024'!B45</f>
        <v>PLANIFICACIÓN Y ORDENAMIENTO DEL BIOTERRITORIO</v>
      </c>
      <c r="C45" s="280"/>
      <c r="D45" s="280"/>
      <c r="E45" s="56"/>
      <c r="F45" s="109">
        <f t="shared" si="9"/>
        <v>3206500000</v>
      </c>
      <c r="G45" s="108">
        <f t="shared" ref="G45:Q45" si="10">+G46+G56</f>
        <v>0</v>
      </c>
      <c r="H45" s="108">
        <f t="shared" si="10"/>
        <v>2395000000</v>
      </c>
      <c r="I45" s="108">
        <f t="shared" si="10"/>
        <v>811500000</v>
      </c>
      <c r="J45" s="108">
        <f t="shared" si="10"/>
        <v>0</v>
      </c>
      <c r="K45" s="108">
        <f t="shared" si="10"/>
        <v>0</v>
      </c>
      <c r="L45" s="108">
        <f t="shared" si="10"/>
        <v>0</v>
      </c>
      <c r="M45" s="108">
        <f t="shared" si="10"/>
        <v>0</v>
      </c>
      <c r="N45" s="108">
        <f t="shared" si="10"/>
        <v>0</v>
      </c>
      <c r="O45" s="108">
        <f t="shared" si="10"/>
        <v>0</v>
      </c>
      <c r="P45" s="108">
        <f t="shared" si="10"/>
        <v>0</v>
      </c>
      <c r="Q45" s="57">
        <f t="shared" si="10"/>
        <v>0</v>
      </c>
    </row>
    <row r="46" spans="1:41" s="89" customFormat="1" ht="36" customHeight="1" x14ac:dyDescent="0.25">
      <c r="A46" s="281" t="str">
        <f>+'2024'!A46</f>
        <v>PROYECTO 1.2.1</v>
      </c>
      <c r="B46" s="281" t="str">
        <f>+'2024'!B46</f>
        <v xml:space="preserve">Agua y ordenamiento del bioterritorio </v>
      </c>
      <c r="C46" s="283" t="str">
        <f>+'2024'!C46</f>
        <v>CODIGO DNP</v>
      </c>
      <c r="D46" s="281">
        <f>+'2024'!D46</f>
        <v>3203</v>
      </c>
      <c r="E46" s="105"/>
      <c r="F46" s="92">
        <f t="shared" si="9"/>
        <v>1496500000</v>
      </c>
      <c r="G46" s="106">
        <f t="shared" ref="G46:Q46" si="11">SUM(G48:G55)</f>
        <v>0</v>
      </c>
      <c r="H46" s="106">
        <f t="shared" si="11"/>
        <v>1195000000</v>
      </c>
      <c r="I46" s="106">
        <f t="shared" si="11"/>
        <v>301500000</v>
      </c>
      <c r="J46" s="106">
        <f t="shared" si="11"/>
        <v>0</v>
      </c>
      <c r="K46" s="106">
        <f t="shared" si="11"/>
        <v>0</v>
      </c>
      <c r="L46" s="106">
        <f t="shared" si="11"/>
        <v>0</v>
      </c>
      <c r="M46" s="106">
        <f t="shared" si="11"/>
        <v>0</v>
      </c>
      <c r="N46" s="106">
        <f t="shared" si="11"/>
        <v>0</v>
      </c>
      <c r="O46" s="106">
        <f t="shared" si="11"/>
        <v>0</v>
      </c>
      <c r="P46" s="106">
        <f t="shared" si="11"/>
        <v>0</v>
      </c>
      <c r="Q46" s="92">
        <f t="shared" si="11"/>
        <v>0</v>
      </c>
    </row>
    <row r="47" spans="1:41" s="158" customFormat="1" ht="30" x14ac:dyDescent="0.25">
      <c r="A47" s="282" t="str">
        <f>+'2024'!A47</f>
        <v>CODIGO</v>
      </c>
      <c r="B47" s="282" t="str">
        <f>+'2024'!B47</f>
        <v>ACCIONES 
(INFINITIVO)</v>
      </c>
      <c r="C47" s="282" t="str">
        <f>+'2024'!C47</f>
        <v>UNIDAD 
DE MEDIDA</v>
      </c>
      <c r="D47" s="282" t="str">
        <f>+'2024'!D47</f>
        <v>INDICADOR 
FÓRMULA</v>
      </c>
      <c r="E47" s="155" t="s">
        <v>393</v>
      </c>
      <c r="F47" s="157" t="s">
        <v>394</v>
      </c>
      <c r="G47" s="161"/>
      <c r="H47" s="163"/>
      <c r="I47" s="162"/>
      <c r="J47" s="162"/>
      <c r="K47" s="162"/>
      <c r="L47" s="162"/>
      <c r="M47" s="162"/>
      <c r="N47" s="162"/>
      <c r="O47" s="159"/>
      <c r="P47" s="159"/>
      <c r="Q47" s="160"/>
    </row>
    <row r="48" spans="1:41" ht="81.75" customHeight="1" x14ac:dyDescent="0.25">
      <c r="A48" s="73" t="str">
        <f>+'2024'!A48</f>
        <v>1.2.1.1</v>
      </c>
      <c r="B48" s="73" t="str">
        <f>+'2024'!B48</f>
        <v>Revisar y ajustar las determinantes ambientales para el ordenamiento territorial de acuerdo con las dinámicas normativas y las condiciones del bioterritorio</v>
      </c>
      <c r="C48" s="73" t="str">
        <f>+'2024'!C48</f>
        <v>Porcentaje</v>
      </c>
      <c r="D48" s="73" t="str">
        <f>+'2024'!D48</f>
        <v>% Determinantes ambientales revisadas y ajustadas</v>
      </c>
      <c r="E48" s="74">
        <v>100</v>
      </c>
      <c r="F48" s="46">
        <f t="shared" ref="F48:F56" si="12">SUM(G48:R48)</f>
        <v>91000000</v>
      </c>
      <c r="G48" s="80"/>
      <c r="H48" s="100">
        <v>91000000</v>
      </c>
      <c r="I48" s="78"/>
      <c r="J48" s="78"/>
      <c r="K48" s="78"/>
      <c r="L48" s="78"/>
      <c r="M48" s="78"/>
      <c r="N48" s="78"/>
      <c r="O48" s="79"/>
      <c r="P48" s="79"/>
      <c r="Q48" s="39"/>
    </row>
    <row r="49" spans="1:19" ht="39" customHeight="1" x14ac:dyDescent="0.25">
      <c r="A49" s="73" t="str">
        <f>+'2024'!A49</f>
        <v>1.2.1.2</v>
      </c>
      <c r="B49" s="73" t="str">
        <f>+'2024'!B49</f>
        <v>Acotar rondas hidricas para corrientes priorizadas de Caldas</v>
      </c>
      <c r="C49" s="73" t="str">
        <f>+'2024'!C49</f>
        <v>Número</v>
      </c>
      <c r="D49" s="73" t="str">
        <f>+'2024'!D49</f>
        <v># corrientes acotadas</v>
      </c>
      <c r="E49" s="74">
        <v>1</v>
      </c>
      <c r="F49" s="46">
        <f t="shared" si="12"/>
        <v>751500000</v>
      </c>
      <c r="G49" s="80"/>
      <c r="H49" s="100">
        <v>450000000</v>
      </c>
      <c r="I49" s="78">
        <v>301500000</v>
      </c>
      <c r="J49" s="78"/>
      <c r="K49" s="78"/>
      <c r="L49" s="78"/>
      <c r="M49" s="78"/>
      <c r="N49" s="78"/>
      <c r="O49" s="79"/>
      <c r="P49" s="79"/>
      <c r="Q49" s="39"/>
    </row>
    <row r="50" spans="1:19" ht="63" customHeight="1" x14ac:dyDescent="0.25">
      <c r="A50" s="73" t="str">
        <f>+'2024'!A50</f>
        <v>1.2.1.3</v>
      </c>
      <c r="B50" s="73" t="str">
        <f>+'2024'!B50</f>
        <v>Realizar asistencia tecnica a las entidades territoriales en la incorporación de las determinantes ambientales en los instrumentos de Ordenamiento  Territorial</v>
      </c>
      <c r="C50" s="73" t="str">
        <f>+'2024'!C50</f>
        <v>Número</v>
      </c>
      <c r="D50" s="73" t="str">
        <f>+'2024'!D50</f>
        <v># de Entidafes territoriales acompañadas</v>
      </c>
      <c r="E50" s="142">
        <v>28</v>
      </c>
      <c r="F50" s="46">
        <f t="shared" si="12"/>
        <v>238000000</v>
      </c>
      <c r="G50" s="80"/>
      <c r="H50" s="100">
        <v>238000000</v>
      </c>
      <c r="I50" s="78"/>
      <c r="J50" s="78"/>
      <c r="K50" s="78"/>
      <c r="L50" s="78"/>
      <c r="M50" s="78"/>
      <c r="N50" s="78"/>
      <c r="O50" s="79"/>
      <c r="P50" s="79"/>
      <c r="Q50" s="39"/>
    </row>
    <row r="51" spans="1:19" ht="76.5" customHeight="1" x14ac:dyDescent="0.25">
      <c r="A51" s="73" t="str">
        <f>+'2024'!A51</f>
        <v>1.2.1.4</v>
      </c>
      <c r="B51" s="73" t="str">
        <f>+'2024'!B51</f>
        <v xml:space="preserve">Realizar seguimiento a la aplicación de las determinantes ambientales en el Ordenamiento Territorial
</v>
      </c>
      <c r="C51" s="73" t="str">
        <f>+'2024'!C51</f>
        <v>Número</v>
      </c>
      <c r="D51" s="73" t="str">
        <f>+'2024'!D51</f>
        <v># de Entidades territoriales con seguimiento a las determinantes ambientales</v>
      </c>
      <c r="E51" s="74">
        <v>27</v>
      </c>
      <c r="F51" s="46">
        <f t="shared" si="12"/>
        <v>126000000</v>
      </c>
      <c r="G51" s="80"/>
      <c r="H51" s="100">
        <v>126000000</v>
      </c>
      <c r="I51" s="78"/>
      <c r="J51" s="78"/>
      <c r="K51" s="78"/>
      <c r="L51" s="78"/>
      <c r="M51" s="78"/>
      <c r="N51" s="78"/>
      <c r="O51" s="79"/>
      <c r="P51" s="79"/>
      <c r="Q51" s="39"/>
    </row>
    <row r="52" spans="1:19" ht="76.5" customHeight="1" x14ac:dyDescent="0.25">
      <c r="A52" s="73" t="str">
        <f>+'2024'!A52</f>
        <v>1.2.1.5</v>
      </c>
      <c r="B52" s="73" t="str">
        <f>+'2024'!B52</f>
        <v>Declarar o ampliar áreas protegidas en el departamento de Caldas</v>
      </c>
      <c r="C52" s="73" t="str">
        <f>+'2024'!C52</f>
        <v>Número</v>
      </c>
      <c r="D52" s="73" t="str">
        <f>+'2024'!D52</f>
        <v># de áreas declaradas</v>
      </c>
      <c r="E52" s="74">
        <v>1</v>
      </c>
      <c r="F52" s="46">
        <f t="shared" si="12"/>
        <v>110000000</v>
      </c>
      <c r="G52" s="80"/>
      <c r="H52" s="100">
        <v>110000000</v>
      </c>
      <c r="I52" s="78"/>
      <c r="J52" s="78"/>
      <c r="K52" s="78"/>
      <c r="L52" s="78"/>
      <c r="M52" s="78"/>
      <c r="N52" s="78"/>
      <c r="O52" s="79"/>
      <c r="P52" s="79"/>
      <c r="Q52" s="39"/>
    </row>
    <row r="53" spans="1:19" s="164" customFormat="1" ht="49.5" customHeight="1" x14ac:dyDescent="0.25">
      <c r="A53" s="73" t="str">
        <f>+'2024'!A53</f>
        <v>1.2.1.6</v>
      </c>
      <c r="B53" s="73" t="str">
        <f>+'2024'!B53</f>
        <v>Realizar inventario  de usuarios del recurso hídrico para el registro y/o legalizacion en subzonas hidrográficas priorizadas</v>
      </c>
      <c r="C53" s="73" t="str">
        <f>+'2024'!C53</f>
        <v>Número</v>
      </c>
      <c r="D53" s="73" t="str">
        <f>+'2024'!D53</f>
        <v># de usuarios registrados</v>
      </c>
      <c r="E53" s="74"/>
      <c r="F53" s="46">
        <f t="shared" si="12"/>
        <v>0</v>
      </c>
      <c r="G53" s="258"/>
      <c r="H53" s="272"/>
      <c r="I53" s="273"/>
      <c r="J53" s="273"/>
      <c r="K53" s="273"/>
      <c r="L53" s="273"/>
      <c r="M53" s="273"/>
      <c r="N53" s="273"/>
      <c r="O53" s="274"/>
      <c r="P53" s="274"/>
      <c r="Q53" s="275"/>
      <c r="R53" s="276"/>
      <c r="S53" s="276"/>
    </row>
    <row r="54" spans="1:19" ht="56.25" customHeight="1" x14ac:dyDescent="0.25">
      <c r="A54" s="73" t="str">
        <f>+'2024'!A54</f>
        <v>1.2.1.7</v>
      </c>
      <c r="B54" s="73" t="str">
        <f>+'2024'!B54</f>
        <v xml:space="preserve">Diseñar herramientas de conservacción para la gestión y administración del recurso hídrico </v>
      </c>
      <c r="C54" s="73" t="str">
        <f>+'2024'!C54</f>
        <v>Número</v>
      </c>
      <c r="D54" s="73" t="str">
        <f>+'2024'!D54</f>
        <v># de herramientas diseñadas</v>
      </c>
      <c r="E54" s="74">
        <v>1</v>
      </c>
      <c r="F54" s="46">
        <f t="shared" si="12"/>
        <v>180000000</v>
      </c>
      <c r="G54" s="80"/>
      <c r="H54" s="100">
        <v>180000000</v>
      </c>
      <c r="I54" s="78"/>
      <c r="J54" s="78"/>
      <c r="K54" s="78"/>
      <c r="L54" s="78"/>
      <c r="M54" s="78"/>
      <c r="N54" s="78"/>
      <c r="O54" s="79"/>
      <c r="P54" s="79"/>
      <c r="Q54" s="39"/>
    </row>
    <row r="55" spans="1:19" ht="60.75" customHeight="1" x14ac:dyDescent="0.25">
      <c r="A55" s="73" t="str">
        <f>+'2024'!A55</f>
        <v>1.2.1.8</v>
      </c>
      <c r="B55" s="73" t="str">
        <f>+'2024'!B55</f>
        <v>Formular lineamientos para el desarrollo de turismo sostenible en áreas de la estructura ecológica principal</v>
      </c>
      <c r="C55" s="73" t="str">
        <f>+'2024'!C55</f>
        <v>Número</v>
      </c>
      <c r="D55" s="73" t="str">
        <f>+'2024'!D55</f>
        <v># de lineamientos formulados</v>
      </c>
      <c r="E55" s="74"/>
      <c r="F55" s="46">
        <f t="shared" si="12"/>
        <v>0</v>
      </c>
      <c r="G55" s="80"/>
      <c r="H55" s="100"/>
      <c r="I55" s="78"/>
      <c r="J55" s="78"/>
      <c r="K55" s="78"/>
      <c r="L55" s="78"/>
      <c r="M55" s="78"/>
      <c r="N55" s="78"/>
      <c r="O55" s="79"/>
      <c r="P55" s="79"/>
      <c r="Q55" s="39"/>
    </row>
    <row r="56" spans="1:19" s="89" customFormat="1" ht="36" customHeight="1" x14ac:dyDescent="0.25">
      <c r="A56" s="281" t="str">
        <f>+'2024'!A56</f>
        <v>PROYECTO 1.2.2</v>
      </c>
      <c r="B56" s="281" t="str">
        <f>+'2024'!B56</f>
        <v xml:space="preserve">Instrumentos de planificación, seguimiento y control ambiental del bioterritorio </v>
      </c>
      <c r="C56" s="283" t="str">
        <f>+'2024'!C56</f>
        <v>CODIGO DNP</v>
      </c>
      <c r="D56" s="281">
        <f>+'2024'!D56</f>
        <v>3205</v>
      </c>
      <c r="E56" s="105"/>
      <c r="F56" s="92">
        <f t="shared" si="12"/>
        <v>1710000000</v>
      </c>
      <c r="G56" s="106">
        <f t="shared" ref="G56:Q56" si="13">SUM(G58:G64)</f>
        <v>0</v>
      </c>
      <c r="H56" s="106">
        <f t="shared" si="13"/>
        <v>1200000000</v>
      </c>
      <c r="I56" s="106">
        <f t="shared" si="13"/>
        <v>510000000</v>
      </c>
      <c r="J56" s="106">
        <f t="shared" si="13"/>
        <v>0</v>
      </c>
      <c r="K56" s="106">
        <f t="shared" si="13"/>
        <v>0</v>
      </c>
      <c r="L56" s="106">
        <f t="shared" si="13"/>
        <v>0</v>
      </c>
      <c r="M56" s="106">
        <f t="shared" si="13"/>
        <v>0</v>
      </c>
      <c r="N56" s="106">
        <f t="shared" si="13"/>
        <v>0</v>
      </c>
      <c r="O56" s="106">
        <f t="shared" si="13"/>
        <v>0</v>
      </c>
      <c r="P56" s="106">
        <f t="shared" si="13"/>
        <v>0</v>
      </c>
      <c r="Q56" s="92">
        <f t="shared" si="13"/>
        <v>0</v>
      </c>
    </row>
    <row r="57" spans="1:19" s="158" customFormat="1" ht="41.25" customHeight="1" x14ac:dyDescent="0.25">
      <c r="A57" s="155" t="str">
        <f>+'2024'!A57</f>
        <v>CODIGO</v>
      </c>
      <c r="B57" s="155" t="str">
        <f>+'2024'!B57</f>
        <v>ACCIONES 
(INFINITIVO)</v>
      </c>
      <c r="C57" s="155" t="str">
        <f>+'2024'!C57</f>
        <v>UNIDAD 
DE MEDIDA</v>
      </c>
      <c r="D57" s="155" t="str">
        <f>+'2024'!D57</f>
        <v>INDICADOR 
FÓRMULA</v>
      </c>
      <c r="E57" s="155" t="s">
        <v>393</v>
      </c>
      <c r="F57" s="157" t="s">
        <v>394</v>
      </c>
      <c r="G57" s="161"/>
      <c r="H57" s="163"/>
      <c r="I57" s="162"/>
      <c r="J57" s="162"/>
      <c r="K57" s="162"/>
      <c r="L57" s="162"/>
      <c r="M57" s="162"/>
      <c r="N57" s="162"/>
      <c r="O57" s="159"/>
      <c r="P57" s="159"/>
      <c r="Q57" s="160"/>
    </row>
    <row r="58" spans="1:19" ht="30" customHeight="1" x14ac:dyDescent="0.25">
      <c r="A58" s="73" t="str">
        <f>+'2024'!A58</f>
        <v>1.2.2.1</v>
      </c>
      <c r="B58" s="73" t="str">
        <f>+'2024'!B58</f>
        <v xml:space="preserve">Adoptar instrumentos de  planificación ambiental </v>
      </c>
      <c r="C58" s="73" t="str">
        <f>+'2024'!C58</f>
        <v>Número</v>
      </c>
      <c r="D58" s="73" t="str">
        <f>+'2024'!D58</f>
        <v># de planes adoptados</v>
      </c>
      <c r="E58" s="75">
        <v>5</v>
      </c>
      <c r="F58" s="46">
        <f t="shared" ref="F58:F67" si="14">SUM(G58:R58)</f>
        <v>0</v>
      </c>
      <c r="G58" s="80"/>
      <c r="H58" s="100"/>
      <c r="I58" s="78"/>
      <c r="J58" s="78"/>
      <c r="K58" s="78"/>
      <c r="L58" s="78"/>
      <c r="M58" s="78"/>
      <c r="N58" s="78"/>
      <c r="O58" s="79"/>
      <c r="P58" s="79"/>
      <c r="Q58" s="39"/>
    </row>
    <row r="59" spans="1:19" ht="36.75" customHeight="1" x14ac:dyDescent="0.25">
      <c r="A59" s="73" t="str">
        <f>+'2024'!A59</f>
        <v>1.2.2.2</v>
      </c>
      <c r="B59" s="73" t="str">
        <f>+'2024'!B59</f>
        <v xml:space="preserve">Formular o actualizar instrumentos de  planificación ambiental </v>
      </c>
      <c r="C59" s="73" t="str">
        <f>+'2024'!C59</f>
        <v>Número</v>
      </c>
      <c r="D59" s="73" t="str">
        <f>+'2024'!D59</f>
        <v># de planes formulados/actualizados</v>
      </c>
      <c r="E59" s="75">
        <v>10</v>
      </c>
      <c r="F59" s="46">
        <f t="shared" si="14"/>
        <v>960000000</v>
      </c>
      <c r="G59" s="80"/>
      <c r="H59" s="100">
        <v>550000000</v>
      </c>
      <c r="I59" s="78">
        <v>410000000</v>
      </c>
      <c r="J59" s="78"/>
      <c r="K59" s="78"/>
      <c r="L59" s="78"/>
      <c r="M59" s="78"/>
      <c r="N59" s="78"/>
      <c r="O59" s="79"/>
      <c r="P59" s="79"/>
      <c r="Q59" s="39"/>
    </row>
    <row r="60" spans="1:19" ht="126.75" customHeight="1" x14ac:dyDescent="0.25">
      <c r="A60" s="73" t="str">
        <f>+'2024'!A60</f>
        <v>1.2.2.3</v>
      </c>
      <c r="B60" s="73" t="str">
        <f>+'2024'!B60</f>
        <v xml:space="preserve">Formular planes de acción de microcuencas abastecedoras de acueductos (ABACOS) </v>
      </c>
      <c r="C60" s="73" t="str">
        <f>+'2024'!C60</f>
        <v>Número</v>
      </c>
      <c r="D60" s="73" t="str">
        <f>+'2024'!D60</f>
        <v># planes de acción de microcuencas abastecedoras de acueductos (ABACOS) formulados</v>
      </c>
      <c r="E60" s="75">
        <v>18</v>
      </c>
      <c r="F60" s="46">
        <f t="shared" si="14"/>
        <v>180000000</v>
      </c>
      <c r="G60" s="80"/>
      <c r="H60" s="100">
        <v>80000000</v>
      </c>
      <c r="I60" s="78">
        <v>100000000</v>
      </c>
      <c r="J60" s="78"/>
      <c r="K60" s="78"/>
      <c r="L60" s="78"/>
      <c r="M60" s="78"/>
      <c r="N60" s="78"/>
      <c r="O60" s="79"/>
      <c r="P60" s="79"/>
      <c r="Q60" s="39"/>
    </row>
    <row r="61" spans="1:19" ht="61.5" customHeight="1" x14ac:dyDescent="0.25">
      <c r="A61" s="73" t="str">
        <f>+'2024'!A61</f>
        <v>1.2.2.4</v>
      </c>
      <c r="B61" s="73" t="str">
        <f>+'2024'!B61</f>
        <v>Evaluar la incorporación de las determinantes ambientales en el proceso de concertación ambiental de los instrumentos de ordenamiento territorial</v>
      </c>
      <c r="C61" s="73" t="str">
        <f>+'2024'!C61</f>
        <v>Porcentaje</v>
      </c>
      <c r="D61" s="73" t="str">
        <f>+'2024'!D61</f>
        <v>% de  Instrumentos de ordenamiento territorial evaluados</v>
      </c>
      <c r="E61" s="201">
        <v>100</v>
      </c>
      <c r="F61" s="46">
        <f t="shared" si="14"/>
        <v>130000000</v>
      </c>
      <c r="G61" s="80"/>
      <c r="H61" s="100">
        <v>130000000</v>
      </c>
      <c r="I61" s="78"/>
      <c r="J61" s="78"/>
      <c r="K61" s="78"/>
      <c r="L61" s="78"/>
      <c r="M61" s="78"/>
      <c r="N61" s="78"/>
      <c r="O61" s="79"/>
      <c r="P61" s="79"/>
      <c r="Q61" s="39"/>
    </row>
    <row r="62" spans="1:19" ht="45.75" customHeight="1" x14ac:dyDescent="0.25">
      <c r="A62" s="73" t="str">
        <f>+'2024'!A62</f>
        <v>1.2.2.5</v>
      </c>
      <c r="B62" s="73" t="str">
        <f>+'2024'!B62</f>
        <v>Apoyar a los entes territoriales en la   formulación y/o actualización de los Planes de Gestión Integral de Residuos Sólidos</v>
      </c>
      <c r="C62" s="73" t="str">
        <f>+'2024'!C62</f>
        <v>Número</v>
      </c>
      <c r="D62" s="73" t="str">
        <f>+'2024'!D62</f>
        <v># de entidades  territoriales apoyadas</v>
      </c>
      <c r="E62" s="201">
        <v>2</v>
      </c>
      <c r="F62" s="46">
        <f t="shared" si="14"/>
        <v>100000000</v>
      </c>
      <c r="G62" s="80"/>
      <c r="H62" s="100">
        <v>100000000</v>
      </c>
      <c r="I62" s="78"/>
      <c r="J62" s="78"/>
      <c r="K62" s="78"/>
      <c r="L62" s="78"/>
      <c r="M62" s="78"/>
      <c r="N62" s="78"/>
      <c r="O62" s="79"/>
      <c r="P62" s="79"/>
      <c r="Q62" s="39"/>
    </row>
    <row r="63" spans="1:19" ht="56.25" customHeight="1" x14ac:dyDescent="0.25">
      <c r="A63" s="73" t="str">
        <f>+'2024'!A63</f>
        <v>1.2.2.6</v>
      </c>
      <c r="B63" s="73" t="str">
        <f>+'2024'!B63</f>
        <v>Seguimiento a la implementación de los instrumentos de planificación ambiental</v>
      </c>
      <c r="C63" s="73" t="str">
        <f>+'2024'!C63</f>
        <v>Número</v>
      </c>
      <c r="D63" s="73" t="str">
        <f>+'2024'!D63</f>
        <v># de instrumentos de planificación ambiental con seguimiento a la implementación</v>
      </c>
      <c r="E63" s="75">
        <v>19</v>
      </c>
      <c r="F63" s="46">
        <f t="shared" si="14"/>
        <v>140000000</v>
      </c>
      <c r="G63" s="80"/>
      <c r="H63" s="78">
        <v>140000000</v>
      </c>
      <c r="I63" s="78"/>
      <c r="J63" s="78"/>
      <c r="K63" s="78"/>
      <c r="L63" s="78"/>
      <c r="M63" s="78"/>
      <c r="N63" s="78"/>
      <c r="O63" s="79"/>
      <c r="P63" s="79"/>
      <c r="Q63" s="39"/>
    </row>
    <row r="64" spans="1:19" ht="51" customHeight="1" x14ac:dyDescent="0.25">
      <c r="A64" s="73" t="str">
        <f>+'2024'!A64</f>
        <v>1.2.2.7</v>
      </c>
      <c r="B64" s="73" t="str">
        <f>+'2024'!B64</f>
        <v xml:space="preserve">Formular e implementar el Programa Institucional Regional de Monitoreo del Agua - PIRMA </v>
      </c>
      <c r="C64" s="73" t="str">
        <f>+'2024'!C64</f>
        <v>Número</v>
      </c>
      <c r="D64" s="73" t="str">
        <f>+'2024'!D64</f>
        <v>Programa Institucional Regional de Monitoreo del Agua - PIRMA formulado e implementado</v>
      </c>
      <c r="E64" s="254">
        <v>1</v>
      </c>
      <c r="F64" s="46">
        <f t="shared" si="14"/>
        <v>200000000</v>
      </c>
      <c r="G64" s="80"/>
      <c r="H64" s="78">
        <v>200000000</v>
      </c>
      <c r="I64" s="78"/>
      <c r="J64" s="78"/>
      <c r="K64" s="78"/>
      <c r="L64" s="78"/>
      <c r="M64" s="78"/>
      <c r="N64" s="78"/>
      <c r="O64" s="79"/>
      <c r="P64" s="79"/>
      <c r="Q64" s="39"/>
    </row>
    <row r="65" spans="1:17" s="50" customFormat="1" ht="15" x14ac:dyDescent="0.25">
      <c r="A65" s="49" t="str">
        <f>+'2024'!A65</f>
        <v>PILAR 2</v>
      </c>
      <c r="B65" s="49" t="str">
        <f>+'2024'!B65</f>
        <v>BIODESARROLLO SOSTENIBLE</v>
      </c>
      <c r="C65" s="366">
        <f>+'2024'!C65</f>
        <v>0</v>
      </c>
      <c r="D65" s="366">
        <f>+'2024'!D65</f>
        <v>0</v>
      </c>
      <c r="E65" s="51"/>
      <c r="F65" s="115">
        <f t="shared" si="14"/>
        <v>5741640000</v>
      </c>
      <c r="G65" s="114">
        <f t="shared" ref="G65:Q65" si="15">+G66+G83</f>
        <v>0</v>
      </c>
      <c r="H65" s="114">
        <f t="shared" si="15"/>
        <v>3621640000</v>
      </c>
      <c r="I65" s="114">
        <f t="shared" si="15"/>
        <v>2120000000</v>
      </c>
      <c r="J65" s="114">
        <f t="shared" si="15"/>
        <v>0</v>
      </c>
      <c r="K65" s="114">
        <f t="shared" si="15"/>
        <v>0</v>
      </c>
      <c r="L65" s="114">
        <f t="shared" si="15"/>
        <v>0</v>
      </c>
      <c r="M65" s="114">
        <f t="shared" si="15"/>
        <v>0</v>
      </c>
      <c r="N65" s="114">
        <f t="shared" si="15"/>
        <v>0</v>
      </c>
      <c r="O65" s="114">
        <f t="shared" si="15"/>
        <v>0</v>
      </c>
      <c r="P65" s="114">
        <f t="shared" si="15"/>
        <v>0</v>
      </c>
      <c r="Q65" s="52">
        <f t="shared" si="15"/>
        <v>0</v>
      </c>
    </row>
    <row r="66" spans="1:17" s="55" customFormat="1" ht="32.1" customHeight="1" x14ac:dyDescent="0.25">
      <c r="A66" s="54" t="str">
        <f>+'2024'!A66</f>
        <v>PROGRAMA 2.1</v>
      </c>
      <c r="B66" s="54" t="str">
        <f>+'2024'!B66</f>
        <v>RIESGOS AMBIENTALES Y CAMBIO CLIMÁTICO</v>
      </c>
      <c r="C66" s="365"/>
      <c r="D66" s="365"/>
      <c r="E66" s="56"/>
      <c r="F66" s="109">
        <f t="shared" si="14"/>
        <v>4201640000</v>
      </c>
      <c r="G66" s="108">
        <f t="shared" ref="G66:Q66" si="16">+G67+G76</f>
        <v>0</v>
      </c>
      <c r="H66" s="108">
        <f t="shared" si="16"/>
        <v>2441640000</v>
      </c>
      <c r="I66" s="108">
        <f t="shared" si="16"/>
        <v>1760000000</v>
      </c>
      <c r="J66" s="108">
        <f t="shared" si="16"/>
        <v>0</v>
      </c>
      <c r="K66" s="108">
        <f t="shared" si="16"/>
        <v>0</v>
      </c>
      <c r="L66" s="108">
        <f t="shared" si="16"/>
        <v>0</v>
      </c>
      <c r="M66" s="108">
        <f t="shared" si="16"/>
        <v>0</v>
      </c>
      <c r="N66" s="108">
        <f t="shared" si="16"/>
        <v>0</v>
      </c>
      <c r="O66" s="108">
        <f t="shared" si="16"/>
        <v>0</v>
      </c>
      <c r="P66" s="108">
        <f t="shared" si="16"/>
        <v>0</v>
      </c>
      <c r="Q66" s="57">
        <f t="shared" si="16"/>
        <v>0</v>
      </c>
    </row>
    <row r="67" spans="1:17" s="62" customFormat="1" ht="15" x14ac:dyDescent="0.25">
      <c r="A67" s="281" t="str">
        <f>+'2024'!A67</f>
        <v>PROYECTO 2.1.1</v>
      </c>
      <c r="B67" s="281" t="str">
        <f>+'2024'!B67</f>
        <v>Gestión de riesgos ambientales</v>
      </c>
      <c r="C67" s="283" t="str">
        <f>+'2024'!C67</f>
        <v>CÓDIGO DNP</v>
      </c>
      <c r="D67" s="281">
        <f>+'2024'!D67</f>
        <v>3205</v>
      </c>
      <c r="E67" s="63"/>
      <c r="F67" s="92">
        <f t="shared" si="14"/>
        <v>3741640000</v>
      </c>
      <c r="G67" s="116">
        <f t="shared" ref="G67:Q67" si="17">SUM(G69:G75)</f>
        <v>0</v>
      </c>
      <c r="H67" s="116">
        <f t="shared" si="17"/>
        <v>2121640000</v>
      </c>
      <c r="I67" s="116">
        <f t="shared" si="17"/>
        <v>1620000000</v>
      </c>
      <c r="J67" s="116">
        <f t="shared" si="17"/>
        <v>0</v>
      </c>
      <c r="K67" s="116">
        <f t="shared" si="17"/>
        <v>0</v>
      </c>
      <c r="L67" s="116">
        <f t="shared" si="17"/>
        <v>0</v>
      </c>
      <c r="M67" s="116">
        <f t="shared" si="17"/>
        <v>0</v>
      </c>
      <c r="N67" s="116">
        <f t="shared" si="17"/>
        <v>0</v>
      </c>
      <c r="O67" s="116">
        <f t="shared" si="17"/>
        <v>0</v>
      </c>
      <c r="P67" s="116">
        <f t="shared" si="17"/>
        <v>0</v>
      </c>
      <c r="Q67" s="64">
        <f t="shared" si="17"/>
        <v>0</v>
      </c>
    </row>
    <row r="68" spans="1:17" s="158" customFormat="1" ht="30" x14ac:dyDescent="0.25">
      <c r="A68" s="155" t="str">
        <f>+'2024'!A68</f>
        <v>CODIGO</v>
      </c>
      <c r="B68" s="155" t="str">
        <f>+'2024'!B68</f>
        <v>ACCIONES 
(INFINITIVO)</v>
      </c>
      <c r="C68" s="155" t="str">
        <f>+'2024'!C68</f>
        <v>UNIDAD 
DE MEDIDA</v>
      </c>
      <c r="D68" s="155" t="str">
        <f>+'2024'!D68</f>
        <v>INDICADOR 
FÓRMULA</v>
      </c>
      <c r="E68" s="156" t="s">
        <v>393</v>
      </c>
      <c r="F68" s="157" t="s">
        <v>394</v>
      </c>
      <c r="G68" s="161"/>
      <c r="H68" s="162"/>
      <c r="I68" s="162"/>
      <c r="J68" s="162"/>
      <c r="K68" s="162"/>
      <c r="L68" s="162"/>
      <c r="M68" s="162"/>
      <c r="N68" s="162"/>
      <c r="O68" s="159"/>
      <c r="P68" s="159"/>
      <c r="Q68" s="160"/>
    </row>
    <row r="69" spans="1:17" ht="63" customHeight="1" x14ac:dyDescent="0.25">
      <c r="A69" s="73" t="str">
        <f>+'2024'!A69</f>
        <v>2.1.1.1</v>
      </c>
      <c r="B69" s="73" t="str">
        <f>+'2024'!B69</f>
        <v xml:space="preserve">Implementar medidas estructurales (obras de ingeniería y Soluciones Basadas en la Naturaleza - SBN) para la reducción del riesgo de desastres </v>
      </c>
      <c r="C69" s="73" t="str">
        <f>+'2024'!C69</f>
        <v>Número</v>
      </c>
      <c r="D69" s="73" t="str">
        <f>+'2024'!D69</f>
        <v># de sitios intervenidos</v>
      </c>
      <c r="E69" s="100">
        <v>23</v>
      </c>
      <c r="F69" s="46">
        <f t="shared" ref="F69:F76" si="18">SUM(G69:R69)</f>
        <v>2800000000</v>
      </c>
      <c r="G69" s="117"/>
      <c r="H69" s="78">
        <v>1480000000</v>
      </c>
      <c r="I69" s="78">
        <v>1320000000</v>
      </c>
      <c r="J69" s="78"/>
      <c r="K69" s="78"/>
      <c r="L69" s="78"/>
      <c r="M69" s="78"/>
      <c r="N69" s="78"/>
      <c r="O69" s="79"/>
      <c r="P69" s="79"/>
      <c r="Q69" s="39"/>
    </row>
    <row r="70" spans="1:17" ht="60.75" customHeight="1" x14ac:dyDescent="0.25">
      <c r="A70" s="73" t="str">
        <f>+'2024'!A70</f>
        <v>2.1.1.2</v>
      </c>
      <c r="B70" s="73" t="str">
        <f>+'2024'!B70</f>
        <v>Desarrollar acciones comunitarias y sectoriales en torno a la gestión, conocimiento y reducción de riesgos ambientales en el territorio</v>
      </c>
      <c r="C70" s="73" t="str">
        <f>+'2024'!C70</f>
        <v>Número</v>
      </c>
      <c r="D70" s="73" t="str">
        <f>+'2024'!D70</f>
        <v xml:space="preserve"># de acciones realizadas en gestión del riesgo </v>
      </c>
      <c r="E70" s="78">
        <v>84</v>
      </c>
      <c r="F70" s="76">
        <f t="shared" si="18"/>
        <v>101640000</v>
      </c>
      <c r="G70" s="118"/>
      <c r="H70" s="78">
        <v>101640000</v>
      </c>
      <c r="I70" s="78"/>
      <c r="J70" s="78"/>
      <c r="K70" s="78"/>
      <c r="L70" s="78"/>
      <c r="M70" s="78"/>
      <c r="N70" s="78"/>
      <c r="O70" s="79"/>
      <c r="P70" s="79"/>
      <c r="Q70" s="39"/>
    </row>
    <row r="71" spans="1:17" ht="93.75" customHeight="1" x14ac:dyDescent="0.25">
      <c r="A71" s="73" t="str">
        <f>+'2024'!A71</f>
        <v>2.1.1.3</v>
      </c>
      <c r="B71" s="73" t="str">
        <f>+'2024'!B71</f>
        <v>Implementar medidas de manejo, remediación y recuperación ambiental desarrolladas en ecosistemas afectados por emergencias (considerando la guía de Evaluación de Daños Ambientales - EDANA)</v>
      </c>
      <c r="C71" s="73" t="str">
        <f>+'2024'!C71</f>
        <v>Número</v>
      </c>
      <c r="D71" s="73" t="str">
        <f>+'2024'!D71</f>
        <v># de sitios intervenidos</v>
      </c>
      <c r="E71" s="78">
        <v>2</v>
      </c>
      <c r="F71" s="76">
        <f t="shared" si="18"/>
        <v>200000000</v>
      </c>
      <c r="G71" s="118"/>
      <c r="H71" s="78">
        <v>100000000</v>
      </c>
      <c r="I71" s="78">
        <v>100000000</v>
      </c>
      <c r="J71" s="78"/>
      <c r="K71" s="78"/>
      <c r="L71" s="78"/>
      <c r="M71" s="78"/>
      <c r="N71" s="78"/>
      <c r="O71" s="79"/>
      <c r="P71" s="79"/>
      <c r="Q71" s="39"/>
    </row>
    <row r="72" spans="1:17" ht="68.25" customHeight="1" x14ac:dyDescent="0.25">
      <c r="A72" s="73" t="str">
        <f>+'2024'!A72</f>
        <v>2.1.1.4</v>
      </c>
      <c r="B72" s="73" t="str">
        <f>+'2024'!B72</f>
        <v>Generar y divulgar información y conocimiento sobre riesgos que afecten la oferta y disponibilidad del recurso hídrico, la calidad del aíre y ruido.</v>
      </c>
      <c r="C72" s="73" t="str">
        <f>+'2024'!C72</f>
        <v>Número</v>
      </c>
      <c r="D72" s="73" t="str">
        <f>+'2024'!D72</f>
        <v># de municipios informados</v>
      </c>
      <c r="E72" s="78">
        <v>27</v>
      </c>
      <c r="F72" s="46">
        <f t="shared" si="18"/>
        <v>90000000</v>
      </c>
      <c r="G72" s="119"/>
      <c r="H72" s="78">
        <v>90000000</v>
      </c>
      <c r="I72" s="78"/>
      <c r="J72" s="78"/>
      <c r="K72" s="78"/>
      <c r="L72" s="78"/>
      <c r="M72" s="78"/>
      <c r="N72" s="78"/>
      <c r="O72" s="79"/>
      <c r="P72" s="79"/>
      <c r="Q72" s="39"/>
    </row>
    <row r="73" spans="1:17" ht="126" customHeight="1" x14ac:dyDescent="0.25">
      <c r="A73" s="73" t="str">
        <f>+'2024'!A73</f>
        <v>2.1.1.5</v>
      </c>
      <c r="B73" s="73" t="str">
        <f>+'2024'!B73</f>
        <v xml:space="preserve">Implementar medidas para reducción del riesgo de la pérdida de biodiversidad y servicios ecosistemicos considerando los 5 motores de pérdida de biodiversidad: la deforestación; el cambio en el uso del suelo; la introducción de especies, la toxificación, eutrofización, desertificación; y el cambio climático. </v>
      </c>
      <c r="C73" s="73" t="str">
        <f>+'2024'!C73</f>
        <v>Número</v>
      </c>
      <c r="D73" s="73" t="str">
        <f>+'2024'!D73</f>
        <v># de medidas implementadas</v>
      </c>
      <c r="E73" s="78">
        <v>1</v>
      </c>
      <c r="F73" s="76">
        <f t="shared" si="18"/>
        <v>150000000</v>
      </c>
      <c r="G73" s="118"/>
      <c r="H73" s="78">
        <v>70000000</v>
      </c>
      <c r="I73" s="78">
        <v>80000000</v>
      </c>
      <c r="J73" s="78"/>
      <c r="K73" s="78"/>
      <c r="L73" s="78"/>
      <c r="M73" s="78"/>
      <c r="N73" s="78"/>
      <c r="O73" s="79"/>
      <c r="P73" s="79"/>
      <c r="Q73" s="39"/>
    </row>
    <row r="74" spans="1:17" ht="85.5" customHeight="1" x14ac:dyDescent="0.25">
      <c r="A74" s="73" t="str">
        <f>+'2024'!A74</f>
        <v>2.1.1.6</v>
      </c>
      <c r="B74" s="73" t="str">
        <f>+'2024'!B74</f>
        <v>Mantener las medidas de reducción del riesgo (Programa Guardianes)</v>
      </c>
      <c r="C74" s="73" t="str">
        <f>+'2024'!C74</f>
        <v>Número</v>
      </c>
      <c r="D74" s="73" t="str">
        <f>+'2024'!D74</f>
        <v># de programas implementados</v>
      </c>
      <c r="E74" s="78">
        <v>2</v>
      </c>
      <c r="F74" s="76">
        <f t="shared" si="18"/>
        <v>250000000</v>
      </c>
      <c r="G74" s="118"/>
      <c r="H74" s="78">
        <v>130000000</v>
      </c>
      <c r="I74" s="78">
        <v>120000000</v>
      </c>
      <c r="J74" s="78"/>
      <c r="K74" s="78"/>
      <c r="L74" s="78"/>
      <c r="M74" s="78"/>
      <c r="N74" s="78"/>
      <c r="O74" s="79"/>
      <c r="P74" s="79"/>
      <c r="Q74" s="39"/>
    </row>
    <row r="75" spans="1:17" ht="60.75" customHeight="1" x14ac:dyDescent="0.25">
      <c r="A75" s="73" t="str">
        <f>+'2024'!A75</f>
        <v>2.1.1.7</v>
      </c>
      <c r="B75" s="73" t="str">
        <f>+'2024'!B75</f>
        <v>Desarrollar estudios y diseños para el conocimiento de los diferentes riesgos ambientales del Departamento</v>
      </c>
      <c r="C75" s="73" t="str">
        <f>+'2024'!C75</f>
        <v>Número</v>
      </c>
      <c r="D75" s="73" t="str">
        <f>+'2024'!D75</f>
        <v># de proyectos realizados</v>
      </c>
      <c r="E75" s="78">
        <v>1</v>
      </c>
      <c r="F75" s="76">
        <f t="shared" si="18"/>
        <v>150000000</v>
      </c>
      <c r="G75" s="118"/>
      <c r="H75" s="78">
        <v>150000000</v>
      </c>
      <c r="I75" s="78"/>
      <c r="J75" s="78"/>
      <c r="K75" s="78"/>
      <c r="L75" s="78"/>
      <c r="M75" s="78"/>
      <c r="N75" s="78"/>
      <c r="O75" s="79"/>
      <c r="P75" s="79"/>
      <c r="Q75" s="39"/>
    </row>
    <row r="76" spans="1:17" s="62" customFormat="1" ht="25.5" customHeight="1" x14ac:dyDescent="0.25">
      <c r="A76" s="281" t="str">
        <f>+'2024'!A76</f>
        <v>PROYECTO 2.1.2</v>
      </c>
      <c r="B76" s="281" t="str">
        <f>+'2024'!B76</f>
        <v xml:space="preserve">Gestión para la adaptación y mitigación al cambio climático </v>
      </c>
      <c r="C76" s="283" t="str">
        <f>+'2024'!C76</f>
        <v>CÓDIGO DNP</v>
      </c>
      <c r="D76" s="281">
        <f>+'2024'!D76</f>
        <v>3206</v>
      </c>
      <c r="E76" s="63"/>
      <c r="F76" s="92">
        <f t="shared" si="18"/>
        <v>460000000</v>
      </c>
      <c r="G76" s="116">
        <f t="shared" ref="G76:Q76" si="19">SUM(G78:G82)</f>
        <v>0</v>
      </c>
      <c r="H76" s="116">
        <f t="shared" si="19"/>
        <v>320000000</v>
      </c>
      <c r="I76" s="116">
        <f t="shared" si="19"/>
        <v>140000000</v>
      </c>
      <c r="J76" s="116">
        <f t="shared" si="19"/>
        <v>0</v>
      </c>
      <c r="K76" s="116">
        <f t="shared" si="19"/>
        <v>0</v>
      </c>
      <c r="L76" s="116">
        <f t="shared" si="19"/>
        <v>0</v>
      </c>
      <c r="M76" s="116">
        <f t="shared" si="19"/>
        <v>0</v>
      </c>
      <c r="N76" s="116">
        <f t="shared" si="19"/>
        <v>0</v>
      </c>
      <c r="O76" s="116">
        <f t="shared" si="19"/>
        <v>0</v>
      </c>
      <c r="P76" s="116">
        <f t="shared" si="19"/>
        <v>0</v>
      </c>
      <c r="Q76" s="64">
        <f t="shared" si="19"/>
        <v>0</v>
      </c>
    </row>
    <row r="77" spans="1:17" s="158" customFormat="1" ht="30" x14ac:dyDescent="0.25">
      <c r="A77" s="155" t="str">
        <f>+'2024'!A77</f>
        <v>CODIGO</v>
      </c>
      <c r="B77" s="155" t="str">
        <f>+'2024'!B77</f>
        <v>ACCIONES 
(INFINITIVO)</v>
      </c>
      <c r="C77" s="155" t="str">
        <f>+'2024'!C77</f>
        <v>UNIDAD 
DE MEDIDA</v>
      </c>
      <c r="D77" s="155" t="str">
        <f>+'2024'!D77</f>
        <v>INDICADOR 
FÓRMULA</v>
      </c>
      <c r="E77" s="155" t="s">
        <v>393</v>
      </c>
      <c r="F77" s="157" t="s">
        <v>394</v>
      </c>
      <c r="G77" s="161"/>
      <c r="H77" s="163"/>
      <c r="I77" s="162"/>
      <c r="J77" s="162"/>
      <c r="K77" s="162"/>
      <c r="L77" s="162"/>
      <c r="M77" s="162"/>
      <c r="N77" s="162"/>
      <c r="O77" s="159"/>
      <c r="P77" s="159"/>
      <c r="Q77" s="160"/>
    </row>
    <row r="78" spans="1:17" ht="30" x14ac:dyDescent="0.25">
      <c r="A78" s="73" t="str">
        <f>+'2024'!A78</f>
        <v>2.1.2.1</v>
      </c>
      <c r="B78" s="73" t="str">
        <f>+'2024'!B78</f>
        <v xml:space="preserve">Impulsar a los sectores a la medición de huella de carbono </v>
      </c>
      <c r="C78" s="73" t="str">
        <f>+'2024'!C78</f>
        <v>Número</v>
      </c>
      <c r="D78" s="73" t="str">
        <f>+'2024'!D78</f>
        <v># de Empresas que miden huella de carbono/año</v>
      </c>
      <c r="E78" s="75">
        <v>5</v>
      </c>
      <c r="F78" s="46">
        <f t="shared" ref="F78:F84" si="20">SUM(G78:R78)</f>
        <v>50000000</v>
      </c>
      <c r="G78" s="80"/>
      <c r="H78" s="78">
        <v>50000000</v>
      </c>
      <c r="I78" s="78"/>
      <c r="J78" s="78"/>
      <c r="K78" s="78"/>
      <c r="L78" s="78"/>
      <c r="M78" s="78"/>
      <c r="N78" s="78"/>
      <c r="O78" s="79"/>
      <c r="P78" s="79"/>
      <c r="Q78" s="39"/>
    </row>
    <row r="79" spans="1:17" ht="49.5" customHeight="1" x14ac:dyDescent="0.25">
      <c r="A79" s="73" t="str">
        <f>+'2024'!A79</f>
        <v>2.1.2.2</v>
      </c>
      <c r="B79" s="73" t="str">
        <f>+'2024'!B79</f>
        <v>Realizar acciones de reducción de Gases Efecto Invernadero - GEI en el sector ambiente</v>
      </c>
      <c r="C79" s="73" t="str">
        <f>+'2024'!C79</f>
        <v>Ton de CO2</v>
      </c>
      <c r="D79" s="73" t="str">
        <f>+'2024'!D79</f>
        <v>Ton CO2/año</v>
      </c>
      <c r="E79" s="75">
        <v>250</v>
      </c>
      <c r="F79" s="46">
        <f t="shared" si="20"/>
        <v>50000000</v>
      </c>
      <c r="G79" s="80"/>
      <c r="H79" s="78">
        <v>50000000</v>
      </c>
      <c r="I79" s="78"/>
      <c r="J79" s="78"/>
      <c r="K79" s="78"/>
      <c r="L79" s="78"/>
      <c r="M79" s="78"/>
      <c r="N79" s="78"/>
      <c r="O79" s="79"/>
      <c r="P79" s="79"/>
      <c r="Q79" s="39"/>
    </row>
    <row r="80" spans="1:17" s="107" customFormat="1" ht="45.75" customHeight="1" x14ac:dyDescent="0.25">
      <c r="A80" s="73" t="str">
        <f>+'2024'!A80</f>
        <v>2.1.2.3</v>
      </c>
      <c r="B80" s="73" t="str">
        <f>+'2024'!B80</f>
        <v>Implementar proyectos de forestería comunitaria con bonos de carbono</v>
      </c>
      <c r="C80" s="73" t="str">
        <f>+'2024'!C80</f>
        <v>Número</v>
      </c>
      <c r="D80" s="73" t="str">
        <f>+'2024'!D80</f>
        <v># de proyecto de forestería comunitaria</v>
      </c>
      <c r="E80" s="165">
        <v>1</v>
      </c>
      <c r="F80" s="121">
        <f t="shared" si="20"/>
        <v>140000000</v>
      </c>
      <c r="G80" s="120"/>
      <c r="H80" s="122">
        <v>80000000</v>
      </c>
      <c r="I80" s="122">
        <v>60000000</v>
      </c>
      <c r="J80" s="122"/>
      <c r="K80" s="122"/>
      <c r="L80" s="122"/>
      <c r="M80" s="122"/>
      <c r="N80" s="122"/>
      <c r="O80" s="123"/>
      <c r="P80" s="123"/>
      <c r="Q80" s="124"/>
    </row>
    <row r="81" spans="1:41" ht="57" customHeight="1" x14ac:dyDescent="0.25">
      <c r="A81" s="73" t="str">
        <f>+'2024'!A81</f>
        <v>2.1.2.4</v>
      </c>
      <c r="B81" s="73" t="str">
        <f>+'2024'!B81</f>
        <v>Implementar acciones climáticas asociadas al PIGCC en los municipios del departamento de Caldas</v>
      </c>
      <c r="C81" s="73" t="str">
        <f>+'2024'!C81</f>
        <v>Número</v>
      </c>
      <c r="D81" s="73" t="str">
        <f>+'2024'!D81</f>
        <v xml:space="preserve"># de acciones realizadas por Corpocaldas en el marco del PIGCC </v>
      </c>
      <c r="E81" s="75">
        <v>2</v>
      </c>
      <c r="F81" s="46">
        <f t="shared" si="20"/>
        <v>160000000</v>
      </c>
      <c r="G81" s="80"/>
      <c r="H81" s="78">
        <v>80000000</v>
      </c>
      <c r="I81" s="78">
        <v>80000000</v>
      </c>
      <c r="J81" s="78"/>
      <c r="K81" s="78"/>
      <c r="L81" s="78"/>
      <c r="M81" s="78"/>
      <c r="N81" s="78"/>
      <c r="O81" s="79"/>
      <c r="P81" s="79"/>
      <c r="Q81" s="39"/>
    </row>
    <row r="82" spans="1:41" s="107" customFormat="1" ht="72.75" customHeight="1" x14ac:dyDescent="0.25">
      <c r="A82" s="73" t="str">
        <f>+'2024'!A82</f>
        <v>2.1.2.5</v>
      </c>
      <c r="B82" s="73" t="str">
        <f>+'2024'!B82</f>
        <v>Realizar analisis de los efectos de la variabilidad y el cambio climático en el departamento, generando insumos para la toma de decisiones</v>
      </c>
      <c r="C82" s="73" t="str">
        <f>+'2024'!C82</f>
        <v>Número</v>
      </c>
      <c r="D82" s="73" t="str">
        <f>+'2024'!D82</f>
        <v># de analisis sobre los efectos de la variabilidad y el cambio climático en el departamento</v>
      </c>
      <c r="E82" s="165">
        <v>1</v>
      </c>
      <c r="F82" s="121">
        <f t="shared" si="20"/>
        <v>60000000</v>
      </c>
      <c r="G82" s="120"/>
      <c r="H82" s="122">
        <v>60000000</v>
      </c>
      <c r="I82" s="122"/>
      <c r="J82" s="122"/>
      <c r="K82" s="122"/>
      <c r="L82" s="122"/>
      <c r="M82" s="122"/>
      <c r="N82" s="122"/>
      <c r="O82" s="123"/>
      <c r="P82" s="123"/>
      <c r="Q82" s="124"/>
    </row>
    <row r="83" spans="1:41" s="55" customFormat="1" ht="32.1" customHeight="1" x14ac:dyDescent="0.25">
      <c r="A83" s="54" t="str">
        <f>+'2024'!A83</f>
        <v>PROGRAMA 2.2</v>
      </c>
      <c r="B83" s="54" t="str">
        <f>+'2024'!B83</f>
        <v>RESPONSABILIDAD AMBIENTAL SECTORIAL</v>
      </c>
      <c r="C83" s="365"/>
      <c r="D83" s="365"/>
      <c r="E83" s="56"/>
      <c r="F83" s="109">
        <f t="shared" si="20"/>
        <v>1540000000</v>
      </c>
      <c r="G83" s="108">
        <f t="shared" ref="G83:Q83" si="21">+G84+G91</f>
        <v>0</v>
      </c>
      <c r="H83" s="108">
        <f t="shared" si="21"/>
        <v>1180000000</v>
      </c>
      <c r="I83" s="108">
        <f t="shared" si="21"/>
        <v>360000000</v>
      </c>
      <c r="J83" s="108">
        <f t="shared" si="21"/>
        <v>0</v>
      </c>
      <c r="K83" s="108">
        <f t="shared" si="21"/>
        <v>0</v>
      </c>
      <c r="L83" s="108">
        <f t="shared" si="21"/>
        <v>0</v>
      </c>
      <c r="M83" s="108">
        <f t="shared" si="21"/>
        <v>0</v>
      </c>
      <c r="N83" s="108">
        <f t="shared" si="21"/>
        <v>0</v>
      </c>
      <c r="O83" s="108">
        <f t="shared" si="21"/>
        <v>0</v>
      </c>
      <c r="P83" s="108">
        <f t="shared" si="21"/>
        <v>0</v>
      </c>
      <c r="Q83" s="57">
        <f t="shared" si="21"/>
        <v>0</v>
      </c>
    </row>
    <row r="84" spans="1:41" s="62" customFormat="1" ht="15" x14ac:dyDescent="0.25">
      <c r="A84" s="281" t="str">
        <f>+'2024'!A84</f>
        <v>PROYECTO 2.2.1</v>
      </c>
      <c r="B84" s="281" t="str">
        <f>+'2024'!B84</f>
        <v xml:space="preserve">Bioeconomía y sostenibilidad </v>
      </c>
      <c r="C84" s="283" t="str">
        <f>+'2024'!C84</f>
        <v>CÓDIGO DNP</v>
      </c>
      <c r="D84" s="281">
        <f>+'2024'!D84</f>
        <v>3201</v>
      </c>
      <c r="E84" s="63"/>
      <c r="F84" s="92">
        <f t="shared" si="20"/>
        <v>790000000</v>
      </c>
      <c r="G84" s="116">
        <f>SUM(G86:G89)</f>
        <v>0</v>
      </c>
      <c r="H84" s="116">
        <f>SUM(H86:H90)</f>
        <v>610000000</v>
      </c>
      <c r="I84" s="116">
        <f t="shared" ref="I84:Q84" si="22">SUM(I86:I90)</f>
        <v>180000000</v>
      </c>
      <c r="J84" s="116">
        <f t="shared" si="22"/>
        <v>0</v>
      </c>
      <c r="K84" s="116">
        <f t="shared" si="22"/>
        <v>0</v>
      </c>
      <c r="L84" s="116">
        <f t="shared" si="22"/>
        <v>0</v>
      </c>
      <c r="M84" s="116">
        <f t="shared" si="22"/>
        <v>0</v>
      </c>
      <c r="N84" s="116">
        <f t="shared" si="22"/>
        <v>0</v>
      </c>
      <c r="O84" s="116">
        <f t="shared" si="22"/>
        <v>0</v>
      </c>
      <c r="P84" s="116">
        <f t="shared" si="22"/>
        <v>0</v>
      </c>
      <c r="Q84" s="116">
        <f t="shared" si="22"/>
        <v>0</v>
      </c>
    </row>
    <row r="85" spans="1:41" s="158" customFormat="1" ht="30" x14ac:dyDescent="0.25">
      <c r="A85" s="155" t="str">
        <f>+'2024'!A85</f>
        <v>CODIGO</v>
      </c>
      <c r="B85" s="155" t="str">
        <f>+'2024'!B85</f>
        <v>ACCIONES 
(INFINITIVO)</v>
      </c>
      <c r="C85" s="155" t="str">
        <f>+'2024'!C85</f>
        <v>UNIDAD 
DE MEDIDA</v>
      </c>
      <c r="D85" s="155" t="str">
        <f>+'2024'!D85</f>
        <v>INDICADOR 
FÓRMULA</v>
      </c>
      <c r="E85" s="155" t="s">
        <v>393</v>
      </c>
      <c r="F85" s="157" t="s">
        <v>394</v>
      </c>
      <c r="G85" s="161"/>
      <c r="H85" s="163"/>
      <c r="I85" s="162"/>
      <c r="J85" s="162"/>
      <c r="K85" s="162"/>
      <c r="L85" s="162"/>
      <c r="M85" s="162"/>
      <c r="N85" s="162"/>
      <c r="O85" s="159"/>
      <c r="P85" s="159"/>
      <c r="Q85" s="160"/>
    </row>
    <row r="86" spans="1:41" ht="48" customHeight="1" x14ac:dyDescent="0.25">
      <c r="A86" s="73" t="str">
        <f>+'2024'!A86</f>
        <v>2.2.1.1</v>
      </c>
      <c r="B86" s="73" t="str">
        <f>+'2024'!B86</f>
        <v>Asistir técnicamente a los negocios verdes para su consolidación incluye verificación y asesoría</v>
      </c>
      <c r="C86" s="73" t="str">
        <f>+'2024'!C86</f>
        <v>Número</v>
      </c>
      <c r="D86" s="73" t="str">
        <f>+'2024'!D86</f>
        <v># de negocios verdes establecidos</v>
      </c>
      <c r="E86" s="100">
        <v>21</v>
      </c>
      <c r="F86" s="46">
        <f t="shared" ref="F86:F91" si="23">SUM(G86:R86)</f>
        <v>200000000</v>
      </c>
      <c r="G86" s="117"/>
      <c r="H86" s="78">
        <v>120000000</v>
      </c>
      <c r="I86" s="78">
        <v>80000000</v>
      </c>
      <c r="J86" s="78"/>
      <c r="K86" s="78"/>
      <c r="L86" s="78"/>
      <c r="M86" s="78"/>
      <c r="N86" s="78"/>
      <c r="O86" s="79"/>
      <c r="P86" s="79"/>
      <c r="Q86" s="39"/>
    </row>
    <row r="87" spans="1:41" ht="55.5" customHeight="1" x14ac:dyDescent="0.25">
      <c r="A87" s="73" t="str">
        <f>+'2024'!A87</f>
        <v>2.2.1.2</v>
      </c>
      <c r="B87" s="73" t="str">
        <f>+'2024'!B87</f>
        <v>Adelantar proyectos de Investigación Desarrollo e Innovación I+D+I en asuntos ambientales sectoriales</v>
      </c>
      <c r="C87" s="73" t="str">
        <f>+'2024'!C87</f>
        <v>Número</v>
      </c>
      <c r="D87" s="73" t="str">
        <f>+'2024'!D87</f>
        <v xml:space="preserve"># de proyectos de I+D+I </v>
      </c>
      <c r="E87" s="78">
        <v>1</v>
      </c>
      <c r="F87" s="46">
        <f t="shared" si="23"/>
        <v>110000000</v>
      </c>
      <c r="G87" s="119"/>
      <c r="H87" s="78">
        <v>110000000</v>
      </c>
      <c r="I87" s="78"/>
      <c r="J87" s="78"/>
      <c r="K87" s="78"/>
      <c r="L87" s="78"/>
      <c r="M87" s="78"/>
      <c r="N87" s="78"/>
      <c r="O87" s="79"/>
      <c r="P87" s="79"/>
      <c r="Q87" s="39"/>
    </row>
    <row r="88" spans="1:41" ht="45.75" customHeight="1" x14ac:dyDescent="0.25">
      <c r="A88" s="73" t="str">
        <f>+'2024'!A88</f>
        <v>2.2.1.3</v>
      </c>
      <c r="B88" s="73" t="str">
        <f>+'2024'!B88</f>
        <v xml:space="preserve">Apoyar la implementación de proyectos en el marco de los PGIRS </v>
      </c>
      <c r="C88" s="73" t="str">
        <f>+'2024'!C88</f>
        <v>Número</v>
      </c>
      <c r="D88" s="73" t="str">
        <f>+'2024'!D88</f>
        <v># de municipios acompañados</v>
      </c>
      <c r="E88" s="78">
        <v>2</v>
      </c>
      <c r="F88" s="46">
        <f t="shared" si="23"/>
        <v>140000000</v>
      </c>
      <c r="G88" s="128"/>
      <c r="H88" s="129">
        <v>140000000</v>
      </c>
      <c r="I88" s="129"/>
      <c r="J88" s="129"/>
      <c r="K88" s="129"/>
      <c r="L88" s="129"/>
      <c r="M88" s="129"/>
      <c r="N88" s="129"/>
      <c r="O88" s="130"/>
      <c r="P88" s="130"/>
      <c r="Q88" s="154"/>
    </row>
    <row r="89" spans="1:41" ht="33.75" customHeight="1" x14ac:dyDescent="0.25">
      <c r="A89" s="73" t="str">
        <f>+'2024'!A89</f>
        <v>2.2.1.4</v>
      </c>
      <c r="B89" s="73" t="str">
        <f>+'2024'!B89</f>
        <v xml:space="preserve">Actualizar e implementar acciones de las agendas ambientales sectoriales </v>
      </c>
      <c r="C89" s="73" t="str">
        <f>+'2024'!C89</f>
        <v>Número</v>
      </c>
      <c r="D89" s="73" t="str">
        <f>+'2024'!D89</f>
        <v># de agendas gestionadas</v>
      </c>
      <c r="E89" s="78">
        <v>8</v>
      </c>
      <c r="F89" s="257">
        <f t="shared" si="23"/>
        <v>300000000</v>
      </c>
      <c r="G89" s="256"/>
      <c r="H89" s="39">
        <v>200000000</v>
      </c>
      <c r="I89" s="39">
        <v>100000000</v>
      </c>
      <c r="J89" s="39"/>
      <c r="K89" s="39"/>
      <c r="L89" s="39"/>
      <c r="M89" s="39"/>
      <c r="N89" s="39"/>
      <c r="O89" s="39"/>
      <c r="P89" s="39"/>
      <c r="Q89" s="39"/>
    </row>
    <row r="90" spans="1:41" ht="45.75" customHeight="1" x14ac:dyDescent="0.25">
      <c r="A90" s="73" t="str">
        <f>+'2024'!A90</f>
        <v>2.2.1.5</v>
      </c>
      <c r="B90" s="73" t="str">
        <f>+'2024'!B90</f>
        <v>Apoyar la implementacion del Plan de Gestión Integral de Residuos Peligrosos - RESPEL</v>
      </c>
      <c r="C90" s="73" t="str">
        <f>+'2024'!C90</f>
        <v>Número</v>
      </c>
      <c r="D90" s="73" t="str">
        <f>+'2024'!D90</f>
        <v xml:space="preserve"># de acciones apoyadas </v>
      </c>
      <c r="E90" s="35">
        <v>1</v>
      </c>
      <c r="F90" s="257">
        <f t="shared" si="23"/>
        <v>40000000</v>
      </c>
      <c r="G90" s="126"/>
      <c r="H90" s="35">
        <v>40000000</v>
      </c>
      <c r="Q90" s="265"/>
    </row>
    <row r="91" spans="1:41" s="62" customFormat="1" ht="29.25" customHeight="1" x14ac:dyDescent="0.25">
      <c r="A91" s="281" t="str">
        <f>+'2024'!A91</f>
        <v>PROYECTO 2.2.2</v>
      </c>
      <c r="B91" s="281" t="str">
        <f>+'2024'!B91</f>
        <v>Convergencia e integración ambiental regional</v>
      </c>
      <c r="C91" s="283" t="str">
        <f>+'2024'!C91</f>
        <v>CÓDIGO DNP</v>
      </c>
      <c r="D91" s="281">
        <f>+'2024'!D91</f>
        <v>3201</v>
      </c>
      <c r="E91" s="63"/>
      <c r="F91" s="46">
        <f t="shared" si="23"/>
        <v>750000000</v>
      </c>
      <c r="G91" s="116">
        <f>SUM(G93:G95)</f>
        <v>0</v>
      </c>
      <c r="H91" s="116">
        <f t="shared" ref="H91:AO91" si="24">SUM(H93:H95)</f>
        <v>570000000</v>
      </c>
      <c r="I91" s="116">
        <f t="shared" si="24"/>
        <v>180000000</v>
      </c>
      <c r="J91" s="116">
        <f t="shared" si="24"/>
        <v>0</v>
      </c>
      <c r="K91" s="116">
        <f t="shared" si="24"/>
        <v>0</v>
      </c>
      <c r="L91" s="116">
        <f t="shared" si="24"/>
        <v>0</v>
      </c>
      <c r="M91" s="116">
        <f t="shared" si="24"/>
        <v>0</v>
      </c>
      <c r="N91" s="116">
        <f t="shared" si="24"/>
        <v>0</v>
      </c>
      <c r="O91" s="116">
        <f t="shared" si="24"/>
        <v>0</v>
      </c>
      <c r="P91" s="116">
        <f t="shared" si="24"/>
        <v>0</v>
      </c>
      <c r="Q91" s="255">
        <f t="shared" si="24"/>
        <v>0</v>
      </c>
      <c r="R91" s="116">
        <f t="shared" si="24"/>
        <v>0</v>
      </c>
      <c r="S91" s="116">
        <f t="shared" si="24"/>
        <v>0</v>
      </c>
      <c r="T91" s="116">
        <f t="shared" si="24"/>
        <v>0</v>
      </c>
      <c r="U91" s="116">
        <f t="shared" si="24"/>
        <v>0</v>
      </c>
      <c r="V91" s="116">
        <f t="shared" si="24"/>
        <v>0</v>
      </c>
      <c r="W91" s="116">
        <f t="shared" si="24"/>
        <v>0</v>
      </c>
      <c r="X91" s="116">
        <f t="shared" si="24"/>
        <v>0</v>
      </c>
      <c r="Y91" s="116">
        <f t="shared" si="24"/>
        <v>0</v>
      </c>
      <c r="Z91" s="116">
        <f t="shared" si="24"/>
        <v>0</v>
      </c>
      <c r="AA91" s="116">
        <f t="shared" si="24"/>
        <v>0</v>
      </c>
      <c r="AB91" s="116">
        <f t="shared" si="24"/>
        <v>0</v>
      </c>
      <c r="AC91" s="116">
        <f t="shared" si="24"/>
        <v>0</v>
      </c>
      <c r="AD91" s="116">
        <f t="shared" si="24"/>
        <v>0</v>
      </c>
      <c r="AE91" s="116">
        <f t="shared" si="24"/>
        <v>0</v>
      </c>
      <c r="AF91" s="116">
        <f t="shared" si="24"/>
        <v>0</v>
      </c>
      <c r="AG91" s="116">
        <f t="shared" si="24"/>
        <v>0</v>
      </c>
      <c r="AH91" s="116">
        <f t="shared" si="24"/>
        <v>0</v>
      </c>
      <c r="AI91" s="116">
        <f t="shared" si="24"/>
        <v>0</v>
      </c>
      <c r="AJ91" s="116">
        <f t="shared" si="24"/>
        <v>0</v>
      </c>
      <c r="AK91" s="116">
        <f t="shared" si="24"/>
        <v>0</v>
      </c>
      <c r="AL91" s="116">
        <f t="shared" si="24"/>
        <v>0</v>
      </c>
      <c r="AM91" s="116">
        <f t="shared" si="24"/>
        <v>0</v>
      </c>
      <c r="AN91" s="116">
        <f t="shared" si="24"/>
        <v>0</v>
      </c>
      <c r="AO91" s="116">
        <f t="shared" si="24"/>
        <v>0</v>
      </c>
    </row>
    <row r="92" spans="1:41" s="158" customFormat="1" ht="30" x14ac:dyDescent="0.25">
      <c r="A92" s="155" t="str">
        <f>+'2024'!A92</f>
        <v>CODIGO</v>
      </c>
      <c r="B92" s="155" t="str">
        <f>+'2024'!B92</f>
        <v>ACCIONES 
(INFINITIVO)</v>
      </c>
      <c r="C92" s="155" t="str">
        <f>+'2024'!C92</f>
        <v>UNIDAD 
DE MEDIDA</v>
      </c>
      <c r="D92" s="155" t="str">
        <f>+'2024'!D92</f>
        <v>INDICADOR 
FÓRMULA</v>
      </c>
      <c r="E92" s="155" t="s">
        <v>393</v>
      </c>
      <c r="F92" s="157" t="s">
        <v>394</v>
      </c>
      <c r="G92" s="161"/>
      <c r="H92" s="163"/>
      <c r="I92" s="162"/>
      <c r="J92" s="162"/>
      <c r="K92" s="162"/>
      <c r="L92" s="162"/>
      <c r="M92" s="162"/>
      <c r="N92" s="162"/>
      <c r="O92" s="159"/>
      <c r="P92" s="159"/>
      <c r="Q92" s="160"/>
    </row>
    <row r="93" spans="1:41" ht="59.25" customHeight="1" x14ac:dyDescent="0.25">
      <c r="A93" s="73" t="str">
        <f>+'2024'!A93</f>
        <v>2.2.2.1</v>
      </c>
      <c r="B93" s="73" t="str">
        <f>+'2024'!B93</f>
        <v xml:space="preserve">Apoyar la gestión del Programa de sostenibilidad del Paisaje Cultural Cafetero PCCC </v>
      </c>
      <c r="C93" s="73" t="str">
        <f>+'2024'!C93</f>
        <v>Número</v>
      </c>
      <c r="D93" s="73" t="str">
        <f>+'2024'!D93</f>
        <v># de acciones apoyadas</v>
      </c>
      <c r="E93" s="125">
        <v>1</v>
      </c>
      <c r="F93" s="46">
        <f>SUM(G93:R93)</f>
        <v>100000000</v>
      </c>
      <c r="G93" s="119"/>
      <c r="H93" s="78">
        <v>100000000</v>
      </c>
      <c r="I93" s="78"/>
      <c r="J93" s="78"/>
      <c r="K93" s="78"/>
      <c r="L93" s="78"/>
      <c r="M93" s="78"/>
      <c r="N93" s="78"/>
      <c r="O93" s="79"/>
      <c r="P93" s="79"/>
      <c r="Q93" s="39"/>
    </row>
    <row r="94" spans="1:41" ht="42" customHeight="1" x14ac:dyDescent="0.25">
      <c r="A94" s="73" t="str">
        <f>+'2024'!A94</f>
        <v>2.2.2.2</v>
      </c>
      <c r="B94" s="73" t="str">
        <f>+'2024'!B94</f>
        <v xml:space="preserve">Apoyar la Gestion de Plataformas colaborativas </v>
      </c>
      <c r="C94" s="73" t="str">
        <f>+'2024'!C94</f>
        <v>Número</v>
      </c>
      <c r="D94" s="73" t="str">
        <f>+'2024'!D94</f>
        <v># de Plataformas apoyadas</v>
      </c>
      <c r="E94" s="131">
        <v>4</v>
      </c>
      <c r="F94" s="46">
        <f>SUM(H94:AO94)</f>
        <v>450000000</v>
      </c>
      <c r="G94" s="132"/>
      <c r="H94" s="39">
        <v>270000000</v>
      </c>
      <c r="I94" s="39">
        <v>180000000</v>
      </c>
      <c r="J94" s="39"/>
      <c r="K94" s="39"/>
      <c r="L94" s="39"/>
      <c r="M94" s="39"/>
      <c r="N94" s="39"/>
      <c r="O94" s="39"/>
      <c r="P94" s="103"/>
      <c r="Q94" s="39"/>
      <c r="R94" s="10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</row>
    <row r="95" spans="1:41" ht="68.25" customHeight="1" x14ac:dyDescent="0.25">
      <c r="A95" s="73" t="str">
        <f>+'2024'!A95</f>
        <v>2.2.2.3</v>
      </c>
      <c r="B95" s="73" t="str">
        <f>+'2024'!B95</f>
        <v>Diseñar e implementar agenda de colaboración con instituciones de Educacion Superior y Centros/Institutos de Investigación</v>
      </c>
      <c r="C95" s="73" t="str">
        <f>+'2024'!C95</f>
        <v>Número</v>
      </c>
      <c r="D95" s="73" t="str">
        <f>+'2024'!D95</f>
        <v>Agendas Gestionada</v>
      </c>
      <c r="E95" s="131">
        <v>1</v>
      </c>
      <c r="F95" s="46">
        <f>SUM(H95:AO95)</f>
        <v>200000000</v>
      </c>
      <c r="G95" s="132"/>
      <c r="H95" s="39">
        <v>200000000</v>
      </c>
      <c r="I95" s="39"/>
      <c r="J95" s="39"/>
      <c r="K95" s="39"/>
      <c r="L95" s="39"/>
      <c r="M95" s="39"/>
      <c r="N95" s="39"/>
      <c r="O95" s="39"/>
      <c r="P95" s="103"/>
      <c r="Q95" s="39"/>
      <c r="R95" s="10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</row>
    <row r="96" spans="1:41" s="50" customFormat="1" ht="21" customHeight="1" x14ac:dyDescent="0.25">
      <c r="A96" s="49" t="str">
        <f>+'2024'!A96</f>
        <v>PILAR 3</v>
      </c>
      <c r="B96" s="49" t="str">
        <f>+'2024'!B96</f>
        <v>APROPIACIÓN DEL BIOTERRITORIO</v>
      </c>
      <c r="C96" s="366"/>
      <c r="D96" s="366"/>
      <c r="E96" s="51"/>
      <c r="F96" s="115">
        <f>SUM(G96:R96)</f>
        <v>8861871000</v>
      </c>
      <c r="G96" s="114">
        <f t="shared" ref="G96:Q96" si="25">+G97+G122</f>
        <v>0</v>
      </c>
      <c r="H96" s="114">
        <f t="shared" si="25"/>
        <v>6144371000</v>
      </c>
      <c r="I96" s="114">
        <f t="shared" si="25"/>
        <v>900000000</v>
      </c>
      <c r="J96" s="114">
        <f t="shared" si="25"/>
        <v>287600000</v>
      </c>
      <c r="K96" s="114">
        <f t="shared" si="25"/>
        <v>0</v>
      </c>
      <c r="L96" s="114">
        <f t="shared" si="25"/>
        <v>1020000000</v>
      </c>
      <c r="M96" s="114">
        <f t="shared" si="25"/>
        <v>0</v>
      </c>
      <c r="N96" s="114">
        <f t="shared" si="25"/>
        <v>0</v>
      </c>
      <c r="O96" s="114">
        <f t="shared" si="25"/>
        <v>279900000</v>
      </c>
      <c r="P96" s="114">
        <f t="shared" si="25"/>
        <v>230000000</v>
      </c>
      <c r="Q96" s="52">
        <f t="shared" si="25"/>
        <v>0</v>
      </c>
    </row>
    <row r="97" spans="1:17" s="55" customFormat="1" ht="32.1" customHeight="1" x14ac:dyDescent="0.25">
      <c r="A97" s="54" t="str">
        <f>+'2024'!A97</f>
        <v>PROGRAMA 3.1</v>
      </c>
      <c r="B97" s="54" t="str">
        <f>+'2024'!B97</f>
        <v>GOBERNABILIDAD DEL BIOTERRITORIO</v>
      </c>
      <c r="C97" s="365"/>
      <c r="D97" s="365"/>
      <c r="E97" s="56"/>
      <c r="F97" s="109">
        <f>SUM(G97:R97)</f>
        <v>4731871000</v>
      </c>
      <c r="G97" s="108">
        <f t="shared" ref="G97:Q97" si="26">+G98+G111+G115</f>
        <v>0</v>
      </c>
      <c r="H97" s="108">
        <f t="shared" si="26"/>
        <v>3444371000</v>
      </c>
      <c r="I97" s="108">
        <f t="shared" si="26"/>
        <v>0</v>
      </c>
      <c r="J97" s="108">
        <f t="shared" si="26"/>
        <v>287600000</v>
      </c>
      <c r="K97" s="108">
        <f t="shared" si="26"/>
        <v>0</v>
      </c>
      <c r="L97" s="108">
        <f t="shared" si="26"/>
        <v>520000000</v>
      </c>
      <c r="M97" s="108">
        <f t="shared" si="26"/>
        <v>0</v>
      </c>
      <c r="N97" s="108">
        <f t="shared" si="26"/>
        <v>0</v>
      </c>
      <c r="O97" s="108">
        <f t="shared" si="26"/>
        <v>279900000</v>
      </c>
      <c r="P97" s="108">
        <f t="shared" si="26"/>
        <v>200000000</v>
      </c>
      <c r="Q97" s="57">
        <f t="shared" si="26"/>
        <v>0</v>
      </c>
    </row>
    <row r="98" spans="1:17" s="62" customFormat="1" ht="15" x14ac:dyDescent="0.25">
      <c r="A98" s="281" t="str">
        <f>+'2024'!A98</f>
        <v>PROYECTO 3.1.1</v>
      </c>
      <c r="B98" s="281" t="str">
        <f>+'2024'!B98</f>
        <v>Autoridad ambiental del bioterritorio</v>
      </c>
      <c r="C98" s="283" t="str">
        <f>+'2024'!C98</f>
        <v>CÓDIGO DNP</v>
      </c>
      <c r="D98" s="281">
        <f>+'2024'!D98</f>
        <v>3201</v>
      </c>
      <c r="E98" s="63"/>
      <c r="F98" s="92">
        <f>SUM(G98:R98)</f>
        <v>3231871000</v>
      </c>
      <c r="G98" s="116">
        <f>SUM(G100:G110)</f>
        <v>0</v>
      </c>
      <c r="H98" s="116">
        <f t="shared" ref="H98:P98" si="27">SUM(H100:H110)</f>
        <v>2144371000</v>
      </c>
      <c r="I98" s="116">
        <f t="shared" si="27"/>
        <v>0</v>
      </c>
      <c r="J98" s="116">
        <f t="shared" si="27"/>
        <v>287600000</v>
      </c>
      <c r="K98" s="116">
        <f t="shared" si="27"/>
        <v>0</v>
      </c>
      <c r="L98" s="116">
        <f t="shared" si="27"/>
        <v>320000000</v>
      </c>
      <c r="M98" s="116">
        <f t="shared" si="27"/>
        <v>0</v>
      </c>
      <c r="N98" s="116">
        <f t="shared" si="27"/>
        <v>0</v>
      </c>
      <c r="O98" s="116">
        <f t="shared" si="27"/>
        <v>279900000</v>
      </c>
      <c r="P98" s="116">
        <f t="shared" si="27"/>
        <v>200000000</v>
      </c>
      <c r="Q98" s="64">
        <f>SUM(Q100:Q110)</f>
        <v>0</v>
      </c>
    </row>
    <row r="99" spans="1:17" s="158" customFormat="1" ht="30" x14ac:dyDescent="0.25">
      <c r="A99" s="155" t="str">
        <f>+'2024'!A99</f>
        <v>CODIGO</v>
      </c>
      <c r="B99" s="155" t="str">
        <f>+'2024'!B99</f>
        <v>ACCIONES 
(INFINITIVO)</v>
      </c>
      <c r="C99" s="155" t="str">
        <f>+'2024'!C99</f>
        <v>UNIDAD 
DE MEDIDA</v>
      </c>
      <c r="D99" s="155" t="str">
        <f>+'2024'!D99</f>
        <v>INDICADOR 
FÓRMULA</v>
      </c>
      <c r="E99" s="155" t="s">
        <v>393</v>
      </c>
      <c r="F99" s="157" t="s">
        <v>394</v>
      </c>
      <c r="G99" s="161"/>
      <c r="H99" s="163"/>
      <c r="I99" s="162"/>
      <c r="J99" s="162"/>
      <c r="K99" s="162"/>
      <c r="L99" s="162"/>
      <c r="M99" s="162"/>
      <c r="N99" s="162"/>
      <c r="O99" s="159"/>
      <c r="P99" s="159"/>
      <c r="Q99" s="160"/>
    </row>
    <row r="100" spans="1:17" ht="146.25" customHeight="1" x14ac:dyDescent="0.25">
      <c r="A100" s="73" t="str">
        <f>+'2024'!A100</f>
        <v>3.1.1.1</v>
      </c>
      <c r="B100" s="73" t="str">
        <f>+'2024'!B100</f>
        <v>Establecer los lineamientos generales y consolidar los criterios técnicos, que permitan fortalecer la objetividad, oportunidad y transparencia en los procesos de evaluación ambiental, contribuyendo al desarrollo sostenible del país</v>
      </c>
      <c r="C100" s="73" t="str">
        <f>+'2024'!C100</f>
        <v>Número</v>
      </c>
      <c r="D100" s="73" t="str">
        <f>+'2024'!D100</f>
        <v xml:space="preserve"># de documentos formulados y socializados </v>
      </c>
      <c r="E100" s="8">
        <v>16</v>
      </c>
      <c r="F100" s="46">
        <f t="shared" ref="F100:F111" si="28">SUM(G100:R100)</f>
        <v>0</v>
      </c>
      <c r="G100" s="80"/>
      <c r="H100" s="78"/>
      <c r="I100" s="78"/>
      <c r="J100" s="78"/>
      <c r="K100" s="78"/>
      <c r="L100" s="78"/>
      <c r="M100" s="78"/>
      <c r="N100" s="78"/>
      <c r="O100" s="79"/>
      <c r="P100" s="79"/>
      <c r="Q100" s="39"/>
    </row>
    <row r="101" spans="1:17" ht="112.5" customHeight="1" x14ac:dyDescent="0.25">
      <c r="A101" s="73" t="str">
        <f>+'2024'!A101</f>
        <v>3.1.1.2</v>
      </c>
      <c r="B101" s="73" t="str">
        <f>+'2024'!B101</f>
        <v>Implementar el funcionamiento de la plataforma de recepción de trámites ambientales en linea a través de la página web de la entidad</v>
      </c>
      <c r="C101" s="73" t="str">
        <f>+'2024'!C101</f>
        <v>Numero</v>
      </c>
      <c r="D101" s="73" t="str">
        <f>+'2024'!D101</f>
        <v xml:space="preserve"># de trámites en linea </v>
      </c>
      <c r="E101" s="8">
        <v>2</v>
      </c>
      <c r="F101" s="46">
        <f t="shared" si="28"/>
        <v>0</v>
      </c>
      <c r="G101" s="80"/>
      <c r="H101" s="78"/>
      <c r="I101" s="78"/>
      <c r="J101" s="78"/>
      <c r="K101" s="78"/>
      <c r="L101" s="78"/>
      <c r="M101" s="78"/>
      <c r="N101" s="78"/>
      <c r="O101" s="79"/>
      <c r="P101" s="79"/>
      <c r="Q101" s="39"/>
    </row>
    <row r="102" spans="1:17" ht="112.5" customHeight="1" x14ac:dyDescent="0.25">
      <c r="A102" s="73" t="str">
        <f>+'2024'!A102</f>
        <v>3.1.1.3</v>
      </c>
      <c r="B102" s="73" t="str">
        <f>+'2024'!B102</f>
        <v>Actualizar las tablas de cobro e implementar metodos de  Autoliquidacion de tramites sujetos a pago y pago en linea</v>
      </c>
      <c r="C102" s="73" t="str">
        <f>+'2024'!C102</f>
        <v>Número</v>
      </c>
      <c r="D102" s="73" t="str">
        <f>+'2024'!D102</f>
        <v xml:space="preserve"># pagos de tramites en linea con autoliquidación </v>
      </c>
      <c r="E102" s="8">
        <v>3</v>
      </c>
      <c r="F102" s="46">
        <f t="shared" si="28"/>
        <v>0</v>
      </c>
      <c r="G102" s="80"/>
      <c r="H102" s="78"/>
      <c r="I102" s="78"/>
      <c r="J102" s="78"/>
      <c r="K102" s="78"/>
      <c r="L102" s="78"/>
      <c r="M102" s="78"/>
      <c r="N102" s="78"/>
      <c r="O102" s="79"/>
      <c r="P102" s="79"/>
      <c r="Q102" s="39"/>
    </row>
    <row r="103" spans="1:17" ht="112.5" customHeight="1" x14ac:dyDescent="0.25">
      <c r="A103" s="73" t="str">
        <f>+'2024'!A103</f>
        <v>3.1.1.4</v>
      </c>
      <c r="B103" s="73" t="str">
        <f>+'2024'!B103</f>
        <v>Cargar y validar la información geografica de expedientes activos en los sistemas de información de la entidad - Licenciamiento ambiental</v>
      </c>
      <c r="C103" s="73" t="str">
        <f>+'2024'!C103</f>
        <v>Número</v>
      </c>
      <c r="D103" s="73" t="str">
        <f>+'2024'!D103</f>
        <v># de expedientes con informaicón geográfica cargada y validada</v>
      </c>
      <c r="E103" s="8">
        <v>50</v>
      </c>
      <c r="F103" s="46">
        <f t="shared" si="28"/>
        <v>0</v>
      </c>
      <c r="G103" s="80"/>
      <c r="H103" s="78"/>
      <c r="I103" s="78"/>
      <c r="J103" s="78"/>
      <c r="K103" s="78"/>
      <c r="L103" s="78"/>
      <c r="M103" s="78"/>
      <c r="N103" s="78"/>
      <c r="O103" s="79"/>
      <c r="P103" s="79"/>
      <c r="Q103" s="39"/>
    </row>
    <row r="104" spans="1:17" ht="78.75" customHeight="1" x14ac:dyDescent="0.25">
      <c r="A104" s="73" t="str">
        <f>+'2024'!A104</f>
        <v>3.1.1.5</v>
      </c>
      <c r="B104" s="73" t="str">
        <f>+'2024'!B104</f>
        <v>Evaluar las solicitudes de permisos y licencias ambientales  en los tiempos establecidos en la normatividad ambiental vigente.</v>
      </c>
      <c r="C104" s="73" t="str">
        <f>+'2024'!C104</f>
        <v>Número</v>
      </c>
      <c r="D104" s="73" t="str">
        <f>+'2024'!D104</f>
        <v xml:space="preserve"># de tramites resueltos con el cumplimiento de tiempos de norma </v>
      </c>
      <c r="E104" s="271">
        <v>313</v>
      </c>
      <c r="F104" s="46">
        <f t="shared" si="28"/>
        <v>781381717</v>
      </c>
      <c r="G104" s="80"/>
      <c r="H104" s="78">
        <v>493781717</v>
      </c>
      <c r="I104" s="78"/>
      <c r="J104" s="78">
        <v>287600000</v>
      </c>
      <c r="K104" s="78"/>
      <c r="L104" s="78"/>
      <c r="M104" s="78"/>
      <c r="N104" s="78"/>
      <c r="O104" s="79"/>
      <c r="P104" s="79"/>
      <c r="Q104" s="39"/>
    </row>
    <row r="105" spans="1:17" ht="60.75" customHeight="1" x14ac:dyDescent="0.25">
      <c r="A105" s="73" t="str">
        <f>+'2024'!A105</f>
        <v>3.1.1.6</v>
      </c>
      <c r="B105" s="73" t="str">
        <f>+'2024'!B105</f>
        <v>Resolver técnicamente los diferentes trámites y permisos que se tienen como pasivos con corte a vigencia 2023</v>
      </c>
      <c r="C105" s="73" t="str">
        <f>+'2024'!C105</f>
        <v>Número</v>
      </c>
      <c r="D105" s="73" t="str">
        <f>+'2024'!D105</f>
        <v># de pasivos resueltos</v>
      </c>
      <c r="E105" s="8">
        <v>0</v>
      </c>
      <c r="F105" s="46">
        <f t="shared" si="28"/>
        <v>0</v>
      </c>
      <c r="G105" s="80"/>
      <c r="H105" s="78"/>
      <c r="I105" s="78"/>
      <c r="J105" s="78"/>
      <c r="K105" s="78"/>
      <c r="L105" s="78"/>
      <c r="M105" s="78"/>
      <c r="N105" s="78"/>
      <c r="O105" s="79"/>
      <c r="P105" s="79"/>
      <c r="Q105" s="39"/>
    </row>
    <row r="106" spans="1:17" ht="65.25" customHeight="1" x14ac:dyDescent="0.25">
      <c r="A106" s="73" t="str">
        <f>+'2024'!A106</f>
        <v>3.1.1.7</v>
      </c>
      <c r="B106" s="73" t="str">
        <f>+'2024'!B106</f>
        <v>Realizar cobertura del seguimiento (Documental, con visita o espacial) a los expedientes activos para cada uno de los trámites competencia de la entidad.</v>
      </c>
      <c r="C106" s="73" t="str">
        <f>+'2024'!C106</f>
        <v>Número</v>
      </c>
      <c r="D106" s="73" t="str">
        <f>+'2024'!D106</f>
        <v xml:space="preserve"># de seguimientos </v>
      </c>
      <c r="E106" s="271">
        <v>1413</v>
      </c>
      <c r="F106" s="46">
        <f t="shared" si="28"/>
        <v>1184046404</v>
      </c>
      <c r="G106" s="80"/>
      <c r="H106" s="78">
        <v>1184046404</v>
      </c>
      <c r="I106" s="78"/>
      <c r="J106" s="78"/>
      <c r="K106" s="78"/>
      <c r="L106" s="78"/>
      <c r="M106" s="78"/>
      <c r="N106" s="78"/>
      <c r="O106" s="79"/>
      <c r="P106" s="79"/>
      <c r="Q106" s="39"/>
    </row>
    <row r="107" spans="1:17" ht="69.75" customHeight="1" x14ac:dyDescent="0.25">
      <c r="A107" s="73" t="str">
        <f>+'2024'!A107</f>
        <v>3.1.1.8</v>
      </c>
      <c r="B107" s="73" t="str">
        <f>+'2024'!B107</f>
        <v>Realizar el seguimiento, control y monitoreo a los recursos naturales, frente a la atención de PQRs y/o acciones preventivas</v>
      </c>
      <c r="C107" s="73" t="str">
        <f>+'2024'!C107</f>
        <v>Número</v>
      </c>
      <c r="D107" s="73" t="str">
        <f>+'2024'!D107</f>
        <v># de seguimientos de control y monitoreo</v>
      </c>
      <c r="E107" s="8">
        <v>900</v>
      </c>
      <c r="F107" s="46">
        <f t="shared" si="28"/>
        <v>705530000</v>
      </c>
      <c r="G107" s="80"/>
      <c r="H107" s="78">
        <v>185530000</v>
      </c>
      <c r="I107" s="78"/>
      <c r="J107" s="78"/>
      <c r="K107" s="78"/>
      <c r="L107" s="78">
        <v>320000000</v>
      </c>
      <c r="M107" s="78"/>
      <c r="N107" s="78"/>
      <c r="O107" s="79"/>
      <c r="P107" s="79">
        <v>200000000</v>
      </c>
      <c r="Q107" s="39"/>
    </row>
    <row r="108" spans="1:17" ht="84.75" customHeight="1" x14ac:dyDescent="0.25">
      <c r="A108" s="73" t="str">
        <f>+'2024'!A108</f>
        <v>3.1.1.9</v>
      </c>
      <c r="B108" s="73" t="str">
        <f>+'2024'!B108</f>
        <v>Gestionar el proceso de cierre de procesos sancionatorios y permisos en el marco del seguimiento a trámites y permisos competencia de la entidad con vigencia al 2023</v>
      </c>
      <c r="C108" s="73" t="str">
        <f>+'2024'!C108</f>
        <v>Número</v>
      </c>
      <c r="D108" s="73" t="str">
        <f>+'2024'!D108</f>
        <v>Cantidad de sancionatorios y trámites cerrados</v>
      </c>
      <c r="E108" s="8">
        <v>450</v>
      </c>
      <c r="F108" s="46">
        <f t="shared" si="28"/>
        <v>197692345</v>
      </c>
      <c r="G108" s="80"/>
      <c r="H108" s="78">
        <f>116989197-2307655</f>
        <v>114681542</v>
      </c>
      <c r="I108" s="78"/>
      <c r="J108" s="78"/>
      <c r="K108" s="78"/>
      <c r="L108" s="78"/>
      <c r="M108" s="78"/>
      <c r="N108" s="78"/>
      <c r="O108" s="79">
        <v>83010803</v>
      </c>
      <c r="P108" s="79"/>
      <c r="Q108" s="39"/>
    </row>
    <row r="109" spans="1:17" ht="36" customHeight="1" x14ac:dyDescent="0.25">
      <c r="A109" s="73" t="str">
        <f>+'2024'!A109</f>
        <v>3.1.1.10</v>
      </c>
      <c r="B109" s="73" t="str">
        <f>+'2024'!B109</f>
        <v>Impulsar juridicamente los procesos sancionatorios recibidos en la vigencia</v>
      </c>
      <c r="C109" s="73" t="str">
        <f>+'2024'!C109</f>
        <v>Porcentaje</v>
      </c>
      <c r="D109" s="73" t="str">
        <f>+'2024'!D109</f>
        <v> % de procesos sancionatorios de la vigencia atendidos</v>
      </c>
      <c r="E109" s="8">
        <v>100</v>
      </c>
      <c r="F109" s="46">
        <f t="shared" si="28"/>
        <v>196889197</v>
      </c>
      <c r="G109" s="80"/>
      <c r="H109" s="78"/>
      <c r="I109" s="78"/>
      <c r="J109" s="78"/>
      <c r="K109" s="78"/>
      <c r="L109" s="78"/>
      <c r="M109" s="78"/>
      <c r="N109" s="78"/>
      <c r="O109" s="79">
        <v>196889197</v>
      </c>
      <c r="P109" s="79"/>
      <c r="Q109" s="39"/>
    </row>
    <row r="110" spans="1:17" ht="43.5" customHeight="1" x14ac:dyDescent="0.25">
      <c r="A110" s="73" t="str">
        <f>+'2024'!A110</f>
        <v>3.1.1.11</v>
      </c>
      <c r="B110" s="73" t="str">
        <f>+'2024'!B110</f>
        <v>Gestión jurídica a los trámites y/o permisos ambientales priorizados en la entidad</v>
      </c>
      <c r="C110" s="73" t="str">
        <f>+'2024'!C110</f>
        <v>Porcentaje</v>
      </c>
      <c r="D110" s="73" t="str">
        <f>+'2024'!D110</f>
        <v>% de tramites y/o permisos ambientales atendidos</v>
      </c>
      <c r="E110" s="8">
        <v>100</v>
      </c>
      <c r="F110" s="46">
        <f t="shared" si="28"/>
        <v>166331337</v>
      </c>
      <c r="G110" s="80"/>
      <c r="H110" s="78">
        <v>166331337</v>
      </c>
      <c r="I110" s="78"/>
      <c r="J110" s="78"/>
      <c r="K110" s="78"/>
      <c r="L110" s="78"/>
      <c r="M110" s="78"/>
      <c r="N110" s="78"/>
      <c r="O110" s="79"/>
      <c r="P110" s="79"/>
      <c r="Q110" s="39"/>
    </row>
    <row r="111" spans="1:17" s="62" customFormat="1" ht="15" x14ac:dyDescent="0.25">
      <c r="A111" s="281" t="str">
        <f>+'2024'!A111</f>
        <v>PROYECTO 3.1.2</v>
      </c>
      <c r="B111" s="281" t="str">
        <f>+'2024'!B111</f>
        <v>Gestión financiera</v>
      </c>
      <c r="C111" s="283" t="str">
        <f>+'2024'!C111</f>
        <v>CODIGO DNP</v>
      </c>
      <c r="D111" s="281">
        <f>+'2024'!D111</f>
        <v>3299</v>
      </c>
      <c r="E111" s="61"/>
      <c r="F111" s="166">
        <f t="shared" si="28"/>
        <v>220000000</v>
      </c>
      <c r="G111" s="140">
        <f t="shared" ref="G111:Q111" si="29">SUM(G113:G114)</f>
        <v>0</v>
      </c>
      <c r="H111" s="140">
        <f t="shared" si="29"/>
        <v>220000000</v>
      </c>
      <c r="I111" s="140">
        <f t="shared" si="29"/>
        <v>0</v>
      </c>
      <c r="J111" s="140">
        <f t="shared" si="29"/>
        <v>0</v>
      </c>
      <c r="K111" s="140">
        <f t="shared" si="29"/>
        <v>0</v>
      </c>
      <c r="L111" s="140">
        <f t="shared" si="29"/>
        <v>0</v>
      </c>
      <c r="M111" s="140">
        <f t="shared" si="29"/>
        <v>0</v>
      </c>
      <c r="N111" s="140">
        <f t="shared" si="29"/>
        <v>0</v>
      </c>
      <c r="O111" s="140">
        <f t="shared" si="29"/>
        <v>0</v>
      </c>
      <c r="P111" s="141">
        <f t="shared" si="29"/>
        <v>0</v>
      </c>
      <c r="Q111" s="64">
        <f t="shared" si="29"/>
        <v>0</v>
      </c>
    </row>
    <row r="112" spans="1:17" s="158" customFormat="1" ht="30" x14ac:dyDescent="0.25">
      <c r="A112" s="155" t="str">
        <f>+'2024'!A112</f>
        <v>CODIGO</v>
      </c>
      <c r="B112" s="155" t="str">
        <f>+'2024'!B112</f>
        <v>ACCIONES 
(INFINITIVO)</v>
      </c>
      <c r="C112" s="155" t="str">
        <f>+'2024'!C112</f>
        <v>UNIDAD 
DE MEDIDA</v>
      </c>
      <c r="D112" s="155" t="str">
        <f>+'2024'!D112</f>
        <v>INDICADOR 
FÓRMULA</v>
      </c>
      <c r="E112" s="155" t="s">
        <v>393</v>
      </c>
      <c r="F112" s="157" t="s">
        <v>394</v>
      </c>
      <c r="G112" s="161"/>
      <c r="H112" s="163"/>
      <c r="I112" s="162"/>
      <c r="J112" s="162"/>
      <c r="K112" s="162"/>
      <c r="L112" s="162"/>
      <c r="M112" s="162"/>
      <c r="N112" s="162"/>
      <c r="O112" s="159"/>
      <c r="P112" s="159"/>
      <c r="Q112" s="160"/>
    </row>
    <row r="113" spans="1:41" ht="45" x14ac:dyDescent="0.25">
      <c r="A113" s="73" t="str">
        <f>+'2024'!A113</f>
        <v>3.1.2.1</v>
      </c>
      <c r="B113" s="73" t="str">
        <f>+'2024'!B113</f>
        <v>Realizar convenios para apoyar la conservación y/o la actualización catastral</v>
      </c>
      <c r="C113" s="73" t="str">
        <f>+'2024'!C113</f>
        <v>Número</v>
      </c>
      <c r="D113" s="73" t="str">
        <f>+'2024'!D113</f>
        <v># de Convenios ejecutados para la conservación y/o la actualización catastral</v>
      </c>
      <c r="E113" s="111"/>
      <c r="F113" s="46">
        <f>SUM(G113:R113)</f>
        <v>0</v>
      </c>
      <c r="G113" s="143"/>
      <c r="H113" s="78"/>
      <c r="I113" s="78"/>
      <c r="J113" s="78"/>
      <c r="K113" s="78"/>
      <c r="L113" s="78"/>
      <c r="M113" s="78"/>
      <c r="N113" s="78"/>
      <c r="O113" s="79"/>
      <c r="P113" s="79"/>
      <c r="Q113" s="39"/>
    </row>
    <row r="114" spans="1:41" ht="48" customHeight="1" x14ac:dyDescent="0.25">
      <c r="A114" s="73" t="str">
        <f>+'2024'!A114</f>
        <v>3.1.2.2</v>
      </c>
      <c r="B114" s="73" t="str">
        <f>+'2024'!B114</f>
        <v>Fortalecer la Formulación y Gestión de Proyectos en la Corporación</v>
      </c>
      <c r="C114" s="73" t="str">
        <f>+'2024'!C114</f>
        <v>Número</v>
      </c>
      <c r="D114" s="73" t="str">
        <f>+'2024'!D114</f>
        <v># de proyectos formulados y gestionados ante diferentes instancias</v>
      </c>
      <c r="E114" s="112">
        <v>5</v>
      </c>
      <c r="F114" s="46">
        <f>SUM(G114:R114)</f>
        <v>220000000</v>
      </c>
      <c r="G114" s="144"/>
      <c r="H114" s="78">
        <v>220000000</v>
      </c>
      <c r="I114" s="78"/>
      <c r="J114" s="78"/>
      <c r="K114" s="78"/>
      <c r="L114" s="78"/>
      <c r="M114" s="78"/>
      <c r="N114" s="78"/>
      <c r="O114" s="79"/>
      <c r="P114" s="79"/>
      <c r="Q114" s="39"/>
    </row>
    <row r="115" spans="1:41" s="62" customFormat="1" ht="27" customHeight="1" x14ac:dyDescent="0.25">
      <c r="A115" s="281" t="str">
        <f>+'2024'!A115</f>
        <v>PROYECTO 3.1.3</v>
      </c>
      <c r="B115" s="281" t="str">
        <f>+'2024'!B115</f>
        <v>Modernización y fortalecimiento Institucional</v>
      </c>
      <c r="C115" s="283" t="str">
        <f>+'2024'!C115</f>
        <v>CÓDIGO DNP</v>
      </c>
      <c r="D115" s="281">
        <f>+'2024'!D115</f>
        <v>3299</v>
      </c>
      <c r="E115" s="63"/>
      <c r="F115" s="92">
        <f>SUM(G115:R115)</f>
        <v>1280000000</v>
      </c>
      <c r="G115" s="116">
        <f t="shared" ref="G115:Q115" si="30">SUM(G117:G121)</f>
        <v>0</v>
      </c>
      <c r="H115" s="116">
        <f t="shared" si="30"/>
        <v>1080000000</v>
      </c>
      <c r="I115" s="116">
        <f t="shared" si="30"/>
        <v>0</v>
      </c>
      <c r="J115" s="116">
        <f t="shared" si="30"/>
        <v>0</v>
      </c>
      <c r="K115" s="116">
        <f t="shared" si="30"/>
        <v>0</v>
      </c>
      <c r="L115" s="116">
        <f t="shared" si="30"/>
        <v>200000000</v>
      </c>
      <c r="M115" s="116">
        <f t="shared" si="30"/>
        <v>0</v>
      </c>
      <c r="N115" s="116">
        <f t="shared" si="30"/>
        <v>0</v>
      </c>
      <c r="O115" s="116">
        <f t="shared" si="30"/>
        <v>0</v>
      </c>
      <c r="P115" s="116">
        <f t="shared" si="30"/>
        <v>0</v>
      </c>
      <c r="Q115" s="64">
        <f t="shared" si="30"/>
        <v>0</v>
      </c>
    </row>
    <row r="116" spans="1:41" s="158" customFormat="1" ht="30" x14ac:dyDescent="0.25">
      <c r="A116" s="155" t="str">
        <f>+'2024'!A116</f>
        <v>CODIGO</v>
      </c>
      <c r="B116" s="155" t="str">
        <f>+'2024'!B116</f>
        <v>ACCIONES 
(INFINITIVO)</v>
      </c>
      <c r="C116" s="155" t="str">
        <f>+'2024'!C116</f>
        <v>UNIDAD 
DE MEDIDA</v>
      </c>
      <c r="D116" s="155" t="str">
        <f>+'2024'!D116</f>
        <v>INDICADOR 
FÓRMULA</v>
      </c>
      <c r="E116" s="155" t="s">
        <v>393</v>
      </c>
      <c r="F116" s="157" t="s">
        <v>394</v>
      </c>
      <c r="G116" s="161"/>
      <c r="H116" s="163"/>
      <c r="I116" s="162"/>
      <c r="J116" s="162"/>
      <c r="K116" s="162"/>
      <c r="L116" s="162"/>
      <c r="M116" s="162"/>
      <c r="N116" s="162"/>
      <c r="O116" s="159"/>
      <c r="P116" s="159"/>
      <c r="Q116" s="160"/>
    </row>
    <row r="117" spans="1:41" ht="45" x14ac:dyDescent="0.25">
      <c r="A117" s="73" t="str">
        <f>+'2024'!A117</f>
        <v>3.1.3.1</v>
      </c>
      <c r="B117" s="73" t="str">
        <f>+'2024'!B117</f>
        <v xml:space="preserve">Ejecutar el plan estratégico en Tecnología de la información y las comunicaciones </v>
      </c>
      <c r="C117" s="73" t="str">
        <f>+'2024'!C117</f>
        <v>Porcentaje</v>
      </c>
      <c r="D117" s="73" t="str">
        <f>+'2024'!D117</f>
        <v xml:space="preserve">% de cumplimiento plan estratégico en Tecnología de la información y las comunicaciones </v>
      </c>
      <c r="E117" s="145">
        <v>90</v>
      </c>
      <c r="F117" s="46">
        <f>SUM(G117:R117)</f>
        <v>340000000</v>
      </c>
      <c r="G117" s="143"/>
      <c r="H117" s="78">
        <v>340000000</v>
      </c>
      <c r="I117" s="78"/>
      <c r="J117" s="78"/>
      <c r="K117" s="78"/>
      <c r="L117" s="78"/>
      <c r="M117" s="78"/>
      <c r="N117" s="78"/>
      <c r="O117" s="79"/>
      <c r="P117" s="79"/>
      <c r="Q117" s="39"/>
    </row>
    <row r="118" spans="1:41" ht="45" x14ac:dyDescent="0.25">
      <c r="A118" s="73" t="str">
        <f>+'2024'!A118</f>
        <v>3.1.3.2</v>
      </c>
      <c r="B118" s="73" t="str">
        <f>+'2024'!B118</f>
        <v>Formular y ejecutar un plan que asegure la modernización y operatividad del Laboratorio ambiental</v>
      </c>
      <c r="C118" s="73" t="str">
        <f>+'2024'!C118</f>
        <v>Porcentaje</v>
      </c>
      <c r="D118" s="73" t="str">
        <f>+'2024'!D118</f>
        <v>% de cumplimiento plan estratégico de funcionamiento de laboratorio ambiental</v>
      </c>
      <c r="E118" s="146">
        <v>50</v>
      </c>
      <c r="F118" s="46">
        <f>SUM(G118:R118)</f>
        <v>380000000</v>
      </c>
      <c r="G118" s="143"/>
      <c r="H118" s="78">
        <v>180000000</v>
      </c>
      <c r="I118" s="78"/>
      <c r="J118" s="78"/>
      <c r="K118" s="78"/>
      <c r="L118" s="78">
        <v>200000000</v>
      </c>
      <c r="M118" s="78"/>
      <c r="N118" s="78"/>
      <c r="O118" s="79"/>
      <c r="P118" s="79"/>
      <c r="Q118" s="39"/>
    </row>
    <row r="119" spans="1:41" ht="52.5" customHeight="1" x14ac:dyDescent="0.25">
      <c r="A119" s="73" t="str">
        <f>+'2024'!A119</f>
        <v>3.1.3.3</v>
      </c>
      <c r="B119" s="73" t="str">
        <f>+'2024'!B119</f>
        <v>Mejorar el porcentaje de implementación del modelo integrado de planeación y gestión</v>
      </c>
      <c r="C119" s="73" t="str">
        <f>+'2024'!C119</f>
        <v>Porcentaje</v>
      </c>
      <c r="D119" s="73" t="str">
        <f>+'2024'!D119</f>
        <v>% de implementación MIPG</v>
      </c>
      <c r="E119" s="145">
        <v>93.5</v>
      </c>
      <c r="F119" s="46">
        <f>SUM(G119:R119)</f>
        <v>450000000</v>
      </c>
      <c r="G119" s="143"/>
      <c r="H119" s="78">
        <v>450000000</v>
      </c>
      <c r="I119" s="78"/>
      <c r="J119" s="78"/>
      <c r="K119" s="78"/>
      <c r="L119" s="78"/>
      <c r="M119" s="78"/>
      <c r="N119" s="78"/>
      <c r="O119" s="79"/>
      <c r="P119" s="79"/>
      <c r="Q119" s="39"/>
    </row>
    <row r="120" spans="1:41" ht="52.5" customHeight="1" x14ac:dyDescent="0.25">
      <c r="A120" s="73" t="str">
        <f>+'2024'!A120</f>
        <v>3.1.3.4</v>
      </c>
      <c r="B120" s="73" t="str">
        <f>+'2024'!B120</f>
        <v>Formular y ejecutar un plan que asegure la modernización y operatividad del Laboratorio de suelos</v>
      </c>
      <c r="C120" s="73" t="str">
        <f>+'2024'!C120</f>
        <v>Porcentaje</v>
      </c>
      <c r="D120" s="73" t="str">
        <f>+'2024'!D120</f>
        <v>% de cumplimiento plan estratégico de funcionamiento de laboratorio de suelos</v>
      </c>
      <c r="E120" s="147">
        <v>100</v>
      </c>
      <c r="F120" s="46">
        <f>SUM(G120:R120)</f>
        <v>40000000</v>
      </c>
      <c r="G120" s="143"/>
      <c r="H120" s="78">
        <v>40000000</v>
      </c>
      <c r="I120" s="78"/>
      <c r="J120" s="78"/>
      <c r="K120" s="78"/>
      <c r="L120" s="78"/>
      <c r="M120" s="78"/>
      <c r="N120" s="78"/>
      <c r="O120" s="79"/>
      <c r="P120" s="79"/>
      <c r="Q120" s="39"/>
    </row>
    <row r="121" spans="1:41" ht="45" x14ac:dyDescent="0.25">
      <c r="A121" s="73" t="str">
        <f>+'2024'!A121</f>
        <v>3.1.3.5</v>
      </c>
      <c r="B121" s="73" t="str">
        <f>+'2024'!B121</f>
        <v>Mantener el reconocimiento y categorización del grupo de investigación de Corpocaldas frente a MinCiencias</v>
      </c>
      <c r="C121" s="73" t="str">
        <f>+'2024'!C121</f>
        <v>Número</v>
      </c>
      <c r="D121" s="73" t="str">
        <f>+'2024'!D121</f>
        <v>Grupo de Investigación en Categoría C de MinCiencias</v>
      </c>
      <c r="E121" s="131">
        <v>1</v>
      </c>
      <c r="F121" s="46">
        <f>SUM(H121:AO121)</f>
        <v>70000000</v>
      </c>
      <c r="G121" s="132"/>
      <c r="H121" s="39">
        <v>70000000</v>
      </c>
      <c r="I121" s="39"/>
      <c r="J121" s="39"/>
      <c r="K121" s="39"/>
      <c r="L121" s="39"/>
      <c r="M121" s="39"/>
      <c r="N121" s="39"/>
      <c r="O121" s="39"/>
      <c r="P121" s="103"/>
      <c r="Q121" s="39"/>
      <c r="R121" s="10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</row>
    <row r="122" spans="1:41" s="55" customFormat="1" ht="32.1" customHeight="1" x14ac:dyDescent="0.25">
      <c r="A122" s="54" t="str">
        <f>+'2024'!A122</f>
        <v>PROGRAMA 3.2</v>
      </c>
      <c r="B122" s="54" t="str">
        <f>+'2024'!B122</f>
        <v>GOBERNANZA AMBIENTAL</v>
      </c>
      <c r="C122" s="365"/>
      <c r="D122" s="365"/>
      <c r="E122" s="56"/>
      <c r="F122" s="109">
        <f>SUM(G122:R122)</f>
        <v>4130000000</v>
      </c>
      <c r="G122" s="108">
        <f t="shared" ref="G122:Q122" si="31">+G123+G130+G135</f>
        <v>0</v>
      </c>
      <c r="H122" s="108">
        <f t="shared" si="31"/>
        <v>2700000000</v>
      </c>
      <c r="I122" s="108">
        <f t="shared" si="31"/>
        <v>900000000</v>
      </c>
      <c r="J122" s="108">
        <f t="shared" si="31"/>
        <v>0</v>
      </c>
      <c r="K122" s="108">
        <f t="shared" si="31"/>
        <v>0</v>
      </c>
      <c r="L122" s="108">
        <f t="shared" si="31"/>
        <v>500000000</v>
      </c>
      <c r="M122" s="108">
        <f t="shared" si="31"/>
        <v>0</v>
      </c>
      <c r="N122" s="108">
        <f t="shared" si="31"/>
        <v>0</v>
      </c>
      <c r="O122" s="108">
        <f t="shared" si="31"/>
        <v>0</v>
      </c>
      <c r="P122" s="108">
        <f t="shared" si="31"/>
        <v>30000000</v>
      </c>
      <c r="Q122" s="57">
        <f t="shared" si="31"/>
        <v>0</v>
      </c>
    </row>
    <row r="123" spans="1:41" s="62" customFormat="1" ht="29.25" customHeight="1" x14ac:dyDescent="0.25">
      <c r="A123" s="281" t="str">
        <f>+'2024'!A123</f>
        <v>PROYECTO 3.2.1</v>
      </c>
      <c r="B123" s="281" t="str">
        <f>+'2024'!B123</f>
        <v>Educación y comunicación para la apropiación del bioterritorio</v>
      </c>
      <c r="C123" s="283" t="str">
        <f>+'2024'!C123</f>
        <v>CÓDIGO DNP</v>
      </c>
      <c r="D123" s="281">
        <f>+'2024'!D123</f>
        <v>3208</v>
      </c>
      <c r="E123" s="63"/>
      <c r="F123" s="92">
        <f>SUM(G123:R123)</f>
        <v>1640000000</v>
      </c>
      <c r="G123" s="116">
        <f t="shared" ref="G123:Q123" si="32">SUM(G125:G129)</f>
        <v>0</v>
      </c>
      <c r="H123" s="116">
        <f t="shared" si="32"/>
        <v>1270000000</v>
      </c>
      <c r="I123" s="116">
        <f t="shared" si="32"/>
        <v>340000000</v>
      </c>
      <c r="J123" s="116">
        <f t="shared" si="32"/>
        <v>0</v>
      </c>
      <c r="K123" s="116">
        <f t="shared" si="32"/>
        <v>0</v>
      </c>
      <c r="L123" s="116">
        <f t="shared" si="32"/>
        <v>0</v>
      </c>
      <c r="M123" s="116">
        <f t="shared" si="32"/>
        <v>0</v>
      </c>
      <c r="N123" s="116">
        <f t="shared" si="32"/>
        <v>0</v>
      </c>
      <c r="O123" s="116">
        <f t="shared" si="32"/>
        <v>0</v>
      </c>
      <c r="P123" s="116">
        <f t="shared" si="32"/>
        <v>30000000</v>
      </c>
      <c r="Q123" s="64">
        <f t="shared" si="32"/>
        <v>0</v>
      </c>
    </row>
    <row r="124" spans="1:41" s="158" customFormat="1" ht="30" x14ac:dyDescent="0.25">
      <c r="A124" s="155" t="str">
        <f>+'2024'!A124</f>
        <v>CODIGO</v>
      </c>
      <c r="B124" s="155" t="str">
        <f>+'2024'!B124</f>
        <v>ACCIONES 
(INFINITIVO)</v>
      </c>
      <c r="C124" s="155" t="str">
        <f>+'2024'!C124</f>
        <v>UNIDAD 
DE MEDIDA</v>
      </c>
      <c r="D124" s="155" t="str">
        <f>+'2024'!D124</f>
        <v>INDICADOR 
FÓRMULA</v>
      </c>
      <c r="E124" s="155" t="s">
        <v>393</v>
      </c>
      <c r="F124" s="157" t="s">
        <v>394</v>
      </c>
      <c r="G124" s="161"/>
      <c r="H124" s="163"/>
      <c r="I124" s="162"/>
      <c r="J124" s="162"/>
      <c r="K124" s="162"/>
      <c r="L124" s="162"/>
      <c r="M124" s="162"/>
      <c r="N124" s="162"/>
      <c r="O124" s="159"/>
      <c r="P124" s="159"/>
      <c r="Q124" s="160"/>
    </row>
    <row r="125" spans="1:41" ht="83.25" customHeight="1" x14ac:dyDescent="0.25">
      <c r="A125" s="73" t="str">
        <f>+'2024'!A125</f>
        <v>3.2.1.1</v>
      </c>
      <c r="B125" s="73" t="str">
        <f>+'2024'!B125</f>
        <v>Implementar  estrategias de comunicación para el conocimiento ambiental, promoción de la conservación y la apropiación del bioterritorio y la acción colaborativa</v>
      </c>
      <c r="C125" s="73" t="str">
        <f>+'2024'!C125</f>
        <v>Número</v>
      </c>
      <c r="D125" s="73" t="str">
        <f>+'2024'!D125</f>
        <v># de Estrategias implementadas</v>
      </c>
      <c r="E125" s="75">
        <v>6</v>
      </c>
      <c r="F125" s="46">
        <f t="shared" ref="F125:F130" si="33">SUM(G125:R125)</f>
        <v>250000000</v>
      </c>
      <c r="G125" s="80"/>
      <c r="H125" s="78">
        <v>250000000</v>
      </c>
      <c r="I125" s="78"/>
      <c r="J125" s="78"/>
      <c r="K125" s="78"/>
      <c r="L125" s="78"/>
      <c r="M125" s="78"/>
      <c r="N125" s="78"/>
      <c r="O125" s="79"/>
      <c r="P125" s="79"/>
      <c r="Q125" s="39"/>
    </row>
    <row r="126" spans="1:41" ht="75" customHeight="1" x14ac:dyDescent="0.25">
      <c r="A126" s="73" t="str">
        <f>+'2024'!A126</f>
        <v>3.2.1.2</v>
      </c>
      <c r="B126" s="73" t="str">
        <f>+'2024'!B126</f>
        <v xml:space="preserve">Implementar estrategias de comunicación para la visibilización de la gestión y las competencias de la entidad  y mejorar la percepción de valor de los grupos de interés </v>
      </c>
      <c r="C126" s="73" t="str">
        <f>+'2024'!C126</f>
        <v>Número</v>
      </c>
      <c r="D126" s="73" t="str">
        <f>+'2024'!D126</f>
        <v># de Estrategias implementadas</v>
      </c>
      <c r="E126" s="75">
        <v>8</v>
      </c>
      <c r="F126" s="46">
        <f t="shared" si="33"/>
        <v>300000000</v>
      </c>
      <c r="G126" s="80"/>
      <c r="H126" s="78">
        <v>300000000</v>
      </c>
      <c r="I126" s="78"/>
      <c r="J126" s="78"/>
      <c r="K126" s="78"/>
      <c r="L126" s="78"/>
      <c r="M126" s="78"/>
      <c r="N126" s="78"/>
      <c r="O126" s="79"/>
      <c r="P126" s="79"/>
      <c r="Q126" s="39"/>
    </row>
    <row r="127" spans="1:41" ht="51.75" customHeight="1" x14ac:dyDescent="0.25">
      <c r="A127" s="73" t="str">
        <f>+'2024'!A127</f>
        <v>3.2.1.3</v>
      </c>
      <c r="B127" s="73" t="str">
        <f>+'2024'!B127</f>
        <v>Implementar estrategias de comunicación interna  que impacten postivamente la cultura y el clima organizacional</v>
      </c>
      <c r="C127" s="73" t="str">
        <f>+'2024'!C127</f>
        <v>Número</v>
      </c>
      <c r="D127" s="73" t="str">
        <f>+'2024'!D127</f>
        <v># de Estrategias implementadas</v>
      </c>
      <c r="E127" s="148">
        <v>4</v>
      </c>
      <c r="F127" s="46">
        <f t="shared" si="33"/>
        <v>120000000</v>
      </c>
      <c r="G127" s="80"/>
      <c r="H127" s="78">
        <v>120000000</v>
      </c>
      <c r="I127" s="78"/>
      <c r="J127" s="78"/>
      <c r="K127" s="78"/>
      <c r="L127" s="78"/>
      <c r="M127" s="78"/>
      <c r="N127" s="78"/>
      <c r="O127" s="79"/>
      <c r="P127" s="79"/>
      <c r="Q127" s="39"/>
    </row>
    <row r="128" spans="1:41" ht="51" customHeight="1" x14ac:dyDescent="0.25">
      <c r="A128" s="73" t="str">
        <f>+'2024'!A128</f>
        <v>3.2.1.4</v>
      </c>
      <c r="B128" s="73" t="str">
        <f>+'2024'!B128</f>
        <v>Implementar el programa de educación ambiental establecido para la vigencia 2024 - 2027</v>
      </c>
      <c r="C128" s="73" t="str">
        <f>+'2024'!C128</f>
        <v>Porcentaje</v>
      </c>
      <c r="D128" s="73" t="str">
        <f>+'2024'!D128</f>
        <v>% de implementación del programa de educación ambiental</v>
      </c>
      <c r="E128" s="148">
        <v>30</v>
      </c>
      <c r="F128" s="46">
        <f t="shared" si="33"/>
        <v>790000000</v>
      </c>
      <c r="G128" s="80"/>
      <c r="H128" s="78">
        <v>420000000</v>
      </c>
      <c r="I128" s="78">
        <v>340000000</v>
      </c>
      <c r="J128" s="78"/>
      <c r="K128" s="78"/>
      <c r="L128" s="78"/>
      <c r="M128" s="78"/>
      <c r="N128" s="78"/>
      <c r="O128" s="79"/>
      <c r="P128" s="79">
        <v>30000000</v>
      </c>
      <c r="Q128" s="39"/>
    </row>
    <row r="129" spans="1:17" ht="46.5" customHeight="1" x14ac:dyDescent="0.25">
      <c r="A129" s="73" t="str">
        <f>+'2024'!A129</f>
        <v>3.2.1.5</v>
      </c>
      <c r="B129" s="73" t="str">
        <f>+'2024'!B129</f>
        <v>Desarrollar proyectos de apropiación social del conocimiento socioambiental</v>
      </c>
      <c r="C129" s="73" t="str">
        <f>+'2024'!C129</f>
        <v>Número</v>
      </c>
      <c r="D129" s="73" t="str">
        <f>+'2024'!D129</f>
        <v># de acciones implementadas</v>
      </c>
      <c r="E129" s="149">
        <v>2</v>
      </c>
      <c r="F129" s="257">
        <f t="shared" si="33"/>
        <v>180000000</v>
      </c>
      <c r="G129" s="150"/>
      <c r="H129" s="39">
        <v>180000000</v>
      </c>
      <c r="I129" s="39"/>
      <c r="J129" s="39"/>
      <c r="K129" s="39"/>
      <c r="L129" s="39"/>
      <c r="M129" s="39"/>
      <c r="N129" s="39"/>
      <c r="O129" s="39"/>
      <c r="P129" s="39"/>
      <c r="Q129" s="39"/>
    </row>
    <row r="130" spans="1:17" s="62" customFormat="1" ht="36" customHeight="1" x14ac:dyDescent="0.25">
      <c r="A130" s="281" t="str">
        <f>+'2024'!A130</f>
        <v>PROYECTO 3.2.2</v>
      </c>
      <c r="B130" s="281" t="str">
        <f>+'2024'!B130</f>
        <v>Participación para la incidencia en el Bioterritorio</v>
      </c>
      <c r="C130" s="283" t="str">
        <f>+'2024'!C130</f>
        <v>CÓDIGO DNP</v>
      </c>
      <c r="D130" s="281">
        <f>+'2024'!D130</f>
        <v>3208</v>
      </c>
      <c r="E130" s="63"/>
      <c r="F130" s="92">
        <f t="shared" si="33"/>
        <v>1010000000</v>
      </c>
      <c r="G130" s="116">
        <f t="shared" ref="G130:Q130" si="34">SUM(G132:G134)</f>
        <v>0</v>
      </c>
      <c r="H130" s="116">
        <f t="shared" si="34"/>
        <v>750000000</v>
      </c>
      <c r="I130" s="116">
        <f t="shared" si="34"/>
        <v>260000000</v>
      </c>
      <c r="J130" s="116">
        <f t="shared" si="34"/>
        <v>0</v>
      </c>
      <c r="K130" s="116">
        <f t="shared" si="34"/>
        <v>0</v>
      </c>
      <c r="L130" s="116">
        <f t="shared" si="34"/>
        <v>0</v>
      </c>
      <c r="M130" s="116">
        <f t="shared" si="34"/>
        <v>0</v>
      </c>
      <c r="N130" s="116">
        <f t="shared" si="34"/>
        <v>0</v>
      </c>
      <c r="O130" s="116">
        <f t="shared" si="34"/>
        <v>0</v>
      </c>
      <c r="P130" s="116">
        <f t="shared" si="34"/>
        <v>0</v>
      </c>
      <c r="Q130" s="255">
        <f t="shared" si="34"/>
        <v>0</v>
      </c>
    </row>
    <row r="131" spans="1:17" s="158" customFormat="1" ht="30" x14ac:dyDescent="0.25">
      <c r="A131" s="155" t="str">
        <f>+'2024'!A131</f>
        <v>CODIGO</v>
      </c>
      <c r="B131" s="155" t="str">
        <f>+'2024'!B131</f>
        <v>ACCIONES 
(INFINITIVO)</v>
      </c>
      <c r="C131" s="155" t="str">
        <f>+'2024'!C131</f>
        <v>UNIDAD 
DE MEDIDA</v>
      </c>
      <c r="D131" s="155" t="str">
        <f>+'2024'!D131</f>
        <v>INDICADOR 
FÓRMULA</v>
      </c>
      <c r="E131" s="155" t="s">
        <v>393</v>
      </c>
      <c r="F131" s="157" t="s">
        <v>394</v>
      </c>
      <c r="G131" s="161"/>
      <c r="H131" s="163"/>
      <c r="I131" s="162"/>
      <c r="J131" s="162"/>
      <c r="K131" s="162"/>
      <c r="L131" s="162"/>
      <c r="M131" s="162"/>
      <c r="N131" s="162"/>
      <c r="O131" s="159"/>
      <c r="P131" s="159"/>
      <c r="Q131" s="160"/>
    </row>
    <row r="132" spans="1:17" ht="134.25" customHeight="1" x14ac:dyDescent="0.25">
      <c r="A132" s="73" t="str">
        <f>+'2024'!A132</f>
        <v>3.2.2.1</v>
      </c>
      <c r="B132" s="73" t="str">
        <f>+'2024'!B132</f>
        <v>Fortalecer los procesos y escenarios de participación ciudadana para garantizar el derecho a la participación, el acceso a la Justicia Ambiental, y el acceso a la información para la incidencia en las decisiones ambientales del territorio (ACUERDO DE ESCAZÚ).</v>
      </c>
      <c r="C132" s="73" t="str">
        <f>+'2024'!C132</f>
        <v>Número</v>
      </c>
      <c r="D132" s="73" t="str">
        <f>+'2024'!D132</f>
        <v># subregiones acompañadas</v>
      </c>
      <c r="E132" s="146">
        <v>6</v>
      </c>
      <c r="F132" s="46">
        <f>SUM(G132:R132)</f>
        <v>700000000</v>
      </c>
      <c r="G132" s="152"/>
      <c r="H132" s="78">
        <v>450000000</v>
      </c>
      <c r="I132" s="78">
        <v>250000000</v>
      </c>
      <c r="J132" s="78"/>
      <c r="K132" s="78"/>
      <c r="L132" s="78"/>
      <c r="M132" s="78"/>
      <c r="N132" s="78"/>
      <c r="O132" s="79"/>
      <c r="P132" s="79"/>
      <c r="Q132" s="39"/>
    </row>
    <row r="133" spans="1:17" ht="106.5" customHeight="1" x14ac:dyDescent="0.25">
      <c r="A133" s="73" t="str">
        <f>+'2024'!A133</f>
        <v>3.2.2.2</v>
      </c>
      <c r="B133" s="73" t="str">
        <f>+'2024'!B133</f>
        <v>Acompañar a las instancias de veeduría ciudadana e implementar estrategias en torno a mecanismos de control social para el mejoramiento de la gestión pública</v>
      </c>
      <c r="C133" s="73" t="str">
        <f>+'2024'!C133</f>
        <v>Número</v>
      </c>
      <c r="D133" s="73" t="str">
        <f>+'2024'!D133</f>
        <v># de veedurías acompañadas y estrategias implementadas</v>
      </c>
      <c r="E133" s="145">
        <v>2</v>
      </c>
      <c r="F133" s="46">
        <f>SUM(G133:R133)</f>
        <v>110000000</v>
      </c>
      <c r="G133" s="152"/>
      <c r="H133" s="78">
        <v>110000000</v>
      </c>
      <c r="I133" s="78"/>
      <c r="J133" s="78"/>
      <c r="K133" s="78"/>
      <c r="L133" s="78"/>
      <c r="M133" s="78"/>
      <c r="N133" s="78"/>
      <c r="O133" s="79"/>
      <c r="P133" s="79"/>
      <c r="Q133" s="39"/>
    </row>
    <row r="134" spans="1:17" ht="63" customHeight="1" x14ac:dyDescent="0.25">
      <c r="A134" s="73" t="str">
        <f>+'2024'!A134</f>
        <v>3.2.2.3</v>
      </c>
      <c r="B134" s="73" t="str">
        <f>+'2024'!B134</f>
        <v>Implementar estrategias de diálogo y concertación intersectorial y multisectorial para el manejo de los conflictos socioambientales priorizados</v>
      </c>
      <c r="C134" s="73" t="str">
        <f>+'2024'!C134</f>
        <v>Número</v>
      </c>
      <c r="D134" s="73" t="str">
        <f>+'2024'!D134</f>
        <v># de estrategias de dialogo y concertación implementadas</v>
      </c>
      <c r="E134" s="145">
        <v>1</v>
      </c>
      <c r="F134" s="46">
        <f>SUM(G134:R134)</f>
        <v>200000000</v>
      </c>
      <c r="G134" s="152"/>
      <c r="H134" s="78">
        <v>190000000</v>
      </c>
      <c r="I134" s="78">
        <v>10000000</v>
      </c>
      <c r="J134" s="78"/>
      <c r="K134" s="78"/>
      <c r="L134" s="78"/>
      <c r="M134" s="78"/>
      <c r="N134" s="78"/>
      <c r="O134" s="79"/>
      <c r="P134" s="79"/>
      <c r="Q134" s="39"/>
    </row>
    <row r="135" spans="1:17" s="62" customFormat="1" ht="15" x14ac:dyDescent="0.25">
      <c r="A135" s="281" t="str">
        <f>+'2024'!A135</f>
        <v>PROYECTO 3.2.3</v>
      </c>
      <c r="B135" s="281" t="str">
        <f>+'2024'!B135</f>
        <v>Acciones ambientales diferenciales</v>
      </c>
      <c r="C135" s="283" t="str">
        <f>+'2024'!C135</f>
        <v>CÓDIGO DNP</v>
      </c>
      <c r="D135" s="281">
        <f>+'2024'!D135</f>
        <v>3208</v>
      </c>
      <c r="E135" s="63"/>
      <c r="F135" s="92">
        <f>SUM(G135:R135)</f>
        <v>1480000000</v>
      </c>
      <c r="G135" s="116">
        <f>SUM(G137:G139)</f>
        <v>0</v>
      </c>
      <c r="H135" s="116">
        <f t="shared" ref="H135:Q135" si="35">SUM(H137:H139)</f>
        <v>680000000</v>
      </c>
      <c r="I135" s="116">
        <f t="shared" si="35"/>
        <v>300000000</v>
      </c>
      <c r="J135" s="116">
        <f t="shared" si="35"/>
        <v>0</v>
      </c>
      <c r="K135" s="116">
        <f t="shared" si="35"/>
        <v>0</v>
      </c>
      <c r="L135" s="116">
        <f t="shared" si="35"/>
        <v>500000000</v>
      </c>
      <c r="M135" s="116">
        <f t="shared" si="35"/>
        <v>0</v>
      </c>
      <c r="N135" s="116">
        <f t="shared" si="35"/>
        <v>0</v>
      </c>
      <c r="O135" s="116">
        <f t="shared" si="35"/>
        <v>0</v>
      </c>
      <c r="P135" s="116">
        <f t="shared" si="35"/>
        <v>0</v>
      </c>
      <c r="Q135" s="64">
        <f t="shared" si="35"/>
        <v>0</v>
      </c>
    </row>
    <row r="136" spans="1:17" s="158" customFormat="1" ht="30" x14ac:dyDescent="0.25">
      <c r="A136" s="155" t="str">
        <f>+'2024'!A136</f>
        <v>CODIGO</v>
      </c>
      <c r="B136" s="155" t="str">
        <f>+'2024'!B136</f>
        <v>ACCIONES 
(INFINITIVO)</v>
      </c>
      <c r="C136" s="155" t="str">
        <f>+'2024'!C136</f>
        <v>UNIDAD 
DE MEDIDA</v>
      </c>
      <c r="D136" s="155" t="str">
        <f>+'2024'!D136</f>
        <v>INDICADOR 
FÓRMULA</v>
      </c>
      <c r="E136" s="155" t="s">
        <v>393</v>
      </c>
      <c r="F136" s="157" t="s">
        <v>394</v>
      </c>
      <c r="G136" s="161"/>
      <c r="H136" s="163"/>
      <c r="I136" s="162"/>
      <c r="J136" s="162"/>
      <c r="K136" s="162"/>
      <c r="L136" s="162"/>
      <c r="M136" s="162"/>
      <c r="N136" s="162"/>
      <c r="O136" s="159"/>
      <c r="P136" s="159"/>
      <c r="Q136" s="160"/>
    </row>
    <row r="137" spans="1:17" ht="70.5" customHeight="1" x14ac:dyDescent="0.25">
      <c r="A137" s="73" t="str">
        <f>+'2024'!A137</f>
        <v>3.2.3.1</v>
      </c>
      <c r="B137" s="73" t="str">
        <f>+'2024'!B137</f>
        <v xml:space="preserve">Ejecutar acciones priorizadas en la agenda ambiental Indígena, los acuerdos de consulta previa y los compromisos de sentencias </v>
      </c>
      <c r="C137" s="73" t="str">
        <f>+'2024'!C137</f>
        <v>Porcentaje</v>
      </c>
      <c r="D137" s="73" t="str">
        <f>+'2024'!D137</f>
        <v>% de ejecución agenda concertada</v>
      </c>
      <c r="E137" s="74">
        <v>100</v>
      </c>
      <c r="F137" s="46">
        <f>SUM(G137:R137)</f>
        <v>900000000</v>
      </c>
      <c r="G137" s="74"/>
      <c r="H137" s="78">
        <v>300000000</v>
      </c>
      <c r="I137" s="78">
        <v>200000000</v>
      </c>
      <c r="J137" s="78"/>
      <c r="K137" s="78"/>
      <c r="L137" s="78">
        <v>400000000</v>
      </c>
      <c r="M137" s="78"/>
      <c r="N137" s="78"/>
      <c r="O137" s="79"/>
      <c r="P137" s="79"/>
      <c r="Q137" s="39"/>
    </row>
    <row r="138" spans="1:17" ht="46.5" customHeight="1" x14ac:dyDescent="0.25">
      <c r="A138" s="73" t="str">
        <f>+'2024'!A138</f>
        <v>3.2.3.2</v>
      </c>
      <c r="B138" s="73" t="str">
        <f>+'2024'!B138</f>
        <v>Ejecutar acciones priorizadas en la agenda ambiental NARP</v>
      </c>
      <c r="C138" s="73" t="str">
        <f>+'2024'!C138</f>
        <v>Porcentaje</v>
      </c>
      <c r="D138" s="73" t="str">
        <f>+'2024'!D138</f>
        <v>% de ejecución agenda concertada</v>
      </c>
      <c r="E138" s="74">
        <v>100</v>
      </c>
      <c r="F138" s="46">
        <f>SUM(G138:R138)</f>
        <v>400000000</v>
      </c>
      <c r="G138" s="74"/>
      <c r="H138" s="78">
        <v>200000000</v>
      </c>
      <c r="I138" s="78">
        <v>100000000</v>
      </c>
      <c r="J138" s="78"/>
      <c r="K138" s="78"/>
      <c r="L138" s="78">
        <v>100000000</v>
      </c>
      <c r="M138" s="78"/>
      <c r="N138" s="78"/>
      <c r="O138" s="79"/>
      <c r="P138" s="79"/>
      <c r="Q138" s="39"/>
    </row>
    <row r="139" spans="1:17" ht="68.25" customHeight="1" x14ac:dyDescent="0.25">
      <c r="A139" s="73" t="str">
        <f>+'2024'!A139</f>
        <v>3.2.3.3</v>
      </c>
      <c r="B139" s="73" t="str">
        <f>+'2024'!B139</f>
        <v>Acompañar e implementar procesos para la formulación de planes, programas y acciones con enfoque de género y diferencial.</v>
      </c>
      <c r="C139" s="73" t="str">
        <f>+'2024'!C139</f>
        <v>Número</v>
      </c>
      <c r="D139" s="73" t="str">
        <f>+'2024'!D139</f>
        <v># de procesos acompañados con enfoque de género y diferencial (Personas con discapacidad)</v>
      </c>
      <c r="E139" s="142">
        <v>2</v>
      </c>
      <c r="F139" s="46">
        <f>SUM(G139:R139)</f>
        <v>180000000</v>
      </c>
      <c r="G139" s="152"/>
      <c r="H139" s="78">
        <v>180000000</v>
      </c>
      <c r="I139" s="78"/>
      <c r="J139" s="78"/>
      <c r="K139" s="78"/>
      <c r="L139" s="78"/>
      <c r="M139" s="78"/>
      <c r="N139" s="78"/>
      <c r="O139" s="79"/>
      <c r="P139" s="79"/>
      <c r="Q139" s="39"/>
    </row>
  </sheetData>
  <mergeCells count="10">
    <mergeCell ref="C122:D122"/>
    <mergeCell ref="C83:D83"/>
    <mergeCell ref="C96:D96"/>
    <mergeCell ref="C65:D65"/>
    <mergeCell ref="C66:D66"/>
    <mergeCell ref="P3:Q3"/>
    <mergeCell ref="C8:D8"/>
    <mergeCell ref="C97:D97"/>
    <mergeCell ref="C7:D7"/>
    <mergeCell ref="H3:N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O139"/>
  <sheetViews>
    <sheetView topLeftCell="A109" zoomScaleNormal="100" workbookViewId="0">
      <selection activeCell="B121" sqref="B121"/>
    </sheetView>
  </sheetViews>
  <sheetFormatPr baseColWidth="10" defaultColWidth="11" defaultRowHeight="15.75" customHeight="1" x14ac:dyDescent="0.25"/>
  <cols>
    <col min="1" max="1" width="15.875" style="35" customWidth="1"/>
    <col min="2" max="2" width="39.125" style="35" customWidth="1"/>
    <col min="3" max="3" width="13.875" style="36" customWidth="1"/>
    <col min="4" max="4" width="32" style="35" customWidth="1"/>
    <col min="5" max="5" width="14.75" style="36" customWidth="1"/>
    <col min="6" max="6" width="15" style="37" customWidth="1"/>
    <col min="7" max="7" width="14.75" style="37" bestFit="1" customWidth="1"/>
    <col min="8" max="8" width="13.125" style="35" customWidth="1"/>
    <col min="9" max="9" width="13.75" style="35" bestFit="1" customWidth="1"/>
    <col min="10" max="10" width="19.25" style="35" customWidth="1"/>
    <col min="11" max="11" width="16.375" style="35" customWidth="1"/>
    <col min="12" max="12" width="13.75" style="35" bestFit="1" customWidth="1"/>
    <col min="13" max="14" width="11" style="35"/>
    <col min="15" max="15" width="12" style="35" bestFit="1" customWidth="1"/>
    <col min="16" max="16" width="14.625" style="35" customWidth="1"/>
    <col min="17" max="17" width="12" style="35" bestFit="1" customWidth="1"/>
    <col min="18" max="16384" width="11" style="35"/>
  </cols>
  <sheetData>
    <row r="2" spans="1:17" ht="15.75" customHeight="1" x14ac:dyDescent="0.25">
      <c r="G2" s="37">
        <f>+G5-G6</f>
        <v>18521000000</v>
      </c>
      <c r="H2" s="37">
        <f t="shared" ref="H2:Q2" si="0">+H5-H6</f>
        <v>0</v>
      </c>
      <c r="I2" s="279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</row>
    <row r="3" spans="1:17" ht="15" customHeight="1" x14ac:dyDescent="0.25">
      <c r="G3" s="41" t="s">
        <v>0</v>
      </c>
      <c r="H3" s="363" t="s">
        <v>1</v>
      </c>
      <c r="I3" s="363"/>
      <c r="J3" s="363"/>
      <c r="K3" s="363"/>
      <c r="L3" s="363"/>
      <c r="M3" s="363"/>
      <c r="N3" s="363"/>
      <c r="O3" s="368" t="s">
        <v>388</v>
      </c>
      <c r="P3" s="369"/>
      <c r="Q3" s="370"/>
    </row>
    <row r="4" spans="1:17" ht="69" customHeight="1" x14ac:dyDescent="0.25">
      <c r="F4" s="174" t="s">
        <v>3</v>
      </c>
      <c r="G4" s="41" t="s">
        <v>0</v>
      </c>
      <c r="H4" s="42" t="s">
        <v>4</v>
      </c>
      <c r="I4" s="42" t="s">
        <v>389</v>
      </c>
      <c r="J4" s="42" t="s">
        <v>9</v>
      </c>
      <c r="K4" s="42" t="s">
        <v>10</v>
      </c>
      <c r="L4" s="42" t="s">
        <v>11</v>
      </c>
      <c r="M4" s="42" t="s">
        <v>12</v>
      </c>
      <c r="N4" s="42" t="s">
        <v>13</v>
      </c>
      <c r="O4" s="42" t="s">
        <v>14</v>
      </c>
      <c r="P4" s="42" t="s">
        <v>390</v>
      </c>
      <c r="Q4" s="42" t="s">
        <v>19</v>
      </c>
    </row>
    <row r="5" spans="1:17" ht="15" x14ac:dyDescent="0.25">
      <c r="F5" s="43">
        <f>SUM(H5:R5)</f>
        <v>30047111000</v>
      </c>
      <c r="G5" s="44">
        <v>18521000000</v>
      </c>
      <c r="H5" s="45">
        <v>15701171000</v>
      </c>
      <c r="I5" s="45">
        <v>5922000000</v>
      </c>
      <c r="J5" s="45">
        <v>315500000</v>
      </c>
      <c r="K5" s="45">
        <v>1395900000</v>
      </c>
      <c r="L5" s="45">
        <v>5711400000</v>
      </c>
      <c r="M5" s="45">
        <v>5220000</v>
      </c>
      <c r="N5" s="45">
        <v>5220000</v>
      </c>
      <c r="O5" s="45">
        <v>290700000</v>
      </c>
      <c r="P5" s="45">
        <v>300000000</v>
      </c>
      <c r="Q5" s="167">
        <v>400000000</v>
      </c>
    </row>
    <row r="6" spans="1:17" ht="15" x14ac:dyDescent="0.25">
      <c r="F6" s="46"/>
      <c r="G6" s="47">
        <f t="shared" ref="G6:Q6" si="1">+G7+G65+G96</f>
        <v>0</v>
      </c>
      <c r="H6" s="47">
        <f t="shared" si="1"/>
        <v>15701171000</v>
      </c>
      <c r="I6" s="47">
        <f t="shared" si="1"/>
        <v>5922000000</v>
      </c>
      <c r="J6" s="47">
        <f t="shared" si="1"/>
        <v>315500000</v>
      </c>
      <c r="K6" s="47">
        <f t="shared" si="1"/>
        <v>1395900000</v>
      </c>
      <c r="L6" s="47">
        <f t="shared" si="1"/>
        <v>5711400000</v>
      </c>
      <c r="M6" s="47">
        <f t="shared" si="1"/>
        <v>5220000</v>
      </c>
      <c r="N6" s="47">
        <f t="shared" si="1"/>
        <v>5220000</v>
      </c>
      <c r="O6" s="47">
        <f t="shared" si="1"/>
        <v>290700000</v>
      </c>
      <c r="P6" s="47">
        <f t="shared" si="1"/>
        <v>300000000</v>
      </c>
      <c r="Q6" s="48">
        <f t="shared" si="1"/>
        <v>400000000</v>
      </c>
    </row>
    <row r="7" spans="1:17" s="50" customFormat="1" ht="20.25" customHeight="1" x14ac:dyDescent="0.25">
      <c r="A7" s="49" t="str">
        <f>+'2024'!A7</f>
        <v>PILAR 1</v>
      </c>
      <c r="B7" s="49" t="str">
        <f>+'2024'!B7</f>
        <v>BIOTERRITORIO SOSTENIBLE</v>
      </c>
      <c r="C7" s="366"/>
      <c r="D7" s="366"/>
      <c r="E7" s="51"/>
      <c r="F7" s="52">
        <f>SUM(G7:R7)</f>
        <v>14233520000</v>
      </c>
      <c r="G7" s="52">
        <f t="shared" ref="G7:Q7" si="2">G8+G45</f>
        <v>0</v>
      </c>
      <c r="H7" s="52">
        <f t="shared" si="2"/>
        <v>5248780000</v>
      </c>
      <c r="I7" s="52">
        <f t="shared" si="2"/>
        <v>2397000000</v>
      </c>
      <c r="J7" s="52">
        <f t="shared" si="2"/>
        <v>0</v>
      </c>
      <c r="K7" s="52">
        <f t="shared" si="2"/>
        <v>1395900000</v>
      </c>
      <c r="L7" s="52">
        <f t="shared" si="2"/>
        <v>4711400000</v>
      </c>
      <c r="M7" s="52">
        <f t="shared" si="2"/>
        <v>5220000</v>
      </c>
      <c r="N7" s="52">
        <f t="shared" si="2"/>
        <v>5220000</v>
      </c>
      <c r="O7" s="52">
        <f t="shared" si="2"/>
        <v>0</v>
      </c>
      <c r="P7" s="53">
        <f t="shared" si="2"/>
        <v>70000000</v>
      </c>
      <c r="Q7" s="52">
        <f t="shared" si="2"/>
        <v>400000000</v>
      </c>
    </row>
    <row r="8" spans="1:17" s="55" customFormat="1" ht="32.1" customHeight="1" x14ac:dyDescent="0.25">
      <c r="A8" s="54" t="str">
        <f>+'2024'!A8</f>
        <v>PROGRAMA 1.1</v>
      </c>
      <c r="B8" s="54" t="str">
        <f>+'2024'!B8</f>
        <v>BIODIVERSIDAD Y SERVICIOS ECOSITÉMICOS</v>
      </c>
      <c r="C8" s="365"/>
      <c r="D8" s="365"/>
      <c r="E8" s="56"/>
      <c r="F8" s="57">
        <f>SUM(G8:R8)</f>
        <v>11249520000</v>
      </c>
      <c r="G8" s="57">
        <f t="shared" ref="G8:Q8" si="3">+G9+G24+G36</f>
        <v>0</v>
      </c>
      <c r="H8" s="57">
        <f t="shared" si="3"/>
        <v>2794780000</v>
      </c>
      <c r="I8" s="57">
        <f t="shared" si="3"/>
        <v>1867000000</v>
      </c>
      <c r="J8" s="57">
        <f t="shared" si="3"/>
        <v>0</v>
      </c>
      <c r="K8" s="57">
        <f t="shared" si="3"/>
        <v>1395900000</v>
      </c>
      <c r="L8" s="57">
        <f t="shared" si="3"/>
        <v>4711400000</v>
      </c>
      <c r="M8" s="57">
        <f t="shared" si="3"/>
        <v>5220000</v>
      </c>
      <c r="N8" s="57">
        <f t="shared" si="3"/>
        <v>5220000</v>
      </c>
      <c r="O8" s="57">
        <f t="shared" si="3"/>
        <v>0</v>
      </c>
      <c r="P8" s="58">
        <f t="shared" si="3"/>
        <v>70000000</v>
      </c>
      <c r="Q8" s="57">
        <f t="shared" si="3"/>
        <v>400000000</v>
      </c>
    </row>
    <row r="9" spans="1:17" s="62" customFormat="1" ht="30" x14ac:dyDescent="0.25">
      <c r="A9" s="59" t="str">
        <f>+'2024'!A9</f>
        <v>PROYECTO 1.1.1</v>
      </c>
      <c r="B9" s="60" t="str">
        <f>+'2024'!B9</f>
        <v xml:space="preserve">Acciones para la conservación de la  biodiversidad y sus servicios ecosistémicos  </v>
      </c>
      <c r="C9" s="59" t="s">
        <v>56</v>
      </c>
      <c r="D9" s="61">
        <v>3202</v>
      </c>
      <c r="E9" s="63"/>
      <c r="F9" s="354">
        <f>SUM(G9:R9)</f>
        <v>6942300000</v>
      </c>
      <c r="G9" s="64">
        <f>SUM(G11:G22)</f>
        <v>0</v>
      </c>
      <c r="H9" s="64">
        <f t="shared" ref="H9:Q9" si="4">SUM(H11:H23)</f>
        <v>584780000</v>
      </c>
      <c r="I9" s="64">
        <f t="shared" si="4"/>
        <v>725000000</v>
      </c>
      <c r="J9" s="64">
        <f t="shared" si="4"/>
        <v>0</v>
      </c>
      <c r="K9" s="64">
        <f t="shared" si="4"/>
        <v>1045900000</v>
      </c>
      <c r="L9" s="64">
        <f t="shared" si="4"/>
        <v>4111400000</v>
      </c>
      <c r="M9" s="64">
        <f t="shared" si="4"/>
        <v>5220000</v>
      </c>
      <c r="N9" s="64">
        <f t="shared" si="4"/>
        <v>0</v>
      </c>
      <c r="O9" s="64">
        <f t="shared" si="4"/>
        <v>0</v>
      </c>
      <c r="P9" s="64">
        <f t="shared" si="4"/>
        <v>70000000</v>
      </c>
      <c r="Q9" s="64">
        <f t="shared" si="4"/>
        <v>400000000</v>
      </c>
    </row>
    <row r="10" spans="1:17" s="158" customFormat="1" ht="30" x14ac:dyDescent="0.25">
      <c r="A10" s="66" t="str">
        <f>+'2024'!A10</f>
        <v>CODIGO</v>
      </c>
      <c r="B10" s="66" t="str">
        <f>+'2024'!B10</f>
        <v>ACCIONES 
(INFINITIVO)</v>
      </c>
      <c r="C10" s="66" t="str">
        <f>+'2024'!C10</f>
        <v>UNIDAD 
DE MEDIDA</v>
      </c>
      <c r="D10" s="66" t="str">
        <f>+'2024'!D10</f>
        <v>INDICADOR 
FÓRMULA</v>
      </c>
      <c r="E10" s="155" t="s">
        <v>395</v>
      </c>
      <c r="F10" s="161" t="s">
        <v>396</v>
      </c>
      <c r="P10" s="159"/>
      <c r="Q10" s="160"/>
    </row>
    <row r="11" spans="1:17" ht="45" x14ac:dyDescent="0.25">
      <c r="A11" s="73" t="str">
        <f>+'2024'!A11</f>
        <v>1.1.1.1</v>
      </c>
      <c r="B11" s="73" t="str">
        <f>+'2024'!B11</f>
        <v xml:space="preserve">Restaurar áreas de especial importancia ambiental para la conservación de la biodiversidad y sus servicios ecosistemicos </v>
      </c>
      <c r="C11" s="73" t="str">
        <f>+'2024'!C11</f>
        <v>Número</v>
      </c>
      <c r="D11" s="73" t="str">
        <f>+'2024'!D11</f>
        <v># de Hectareas de áreas de ecosistemas en restauración, rehabilitación y reforestación</v>
      </c>
      <c r="E11" s="87">
        <v>52</v>
      </c>
      <c r="F11" s="355">
        <f t="shared" ref="F11:F24" si="5">SUM(G11:R11)</f>
        <v>845900000</v>
      </c>
      <c r="G11" s="77"/>
      <c r="H11" s="78"/>
      <c r="I11" s="78"/>
      <c r="J11" s="78"/>
      <c r="K11" s="78">
        <f>1395900000-650000000</f>
        <v>745900000</v>
      </c>
      <c r="L11" s="78"/>
      <c r="M11" s="78"/>
      <c r="N11" s="78"/>
      <c r="O11" s="79"/>
      <c r="P11" s="79"/>
      <c r="Q11" s="39">
        <v>100000000</v>
      </c>
    </row>
    <row r="12" spans="1:17" ht="30" x14ac:dyDescent="0.25">
      <c r="A12" s="73" t="str">
        <f>+'2024'!A12</f>
        <v>1.1.1.2</v>
      </c>
      <c r="B12" s="73" t="str">
        <f>+'2024'!B12</f>
        <v>Implementar planes de manejo para prevenir, controlar y manejar especies invasoras de flora</v>
      </c>
      <c r="C12" s="73" t="str">
        <f>+'2024'!C12</f>
        <v>Número</v>
      </c>
      <c r="D12" s="73" t="str">
        <f>+'2024'!D12</f>
        <v xml:space="preserve"># de planes de manejo </v>
      </c>
      <c r="E12" s="75">
        <v>1</v>
      </c>
      <c r="F12" s="46">
        <f t="shared" si="5"/>
        <v>110000000</v>
      </c>
      <c r="G12" s="80"/>
      <c r="H12" s="78">
        <v>80000000</v>
      </c>
      <c r="I12" s="78">
        <v>30000000</v>
      </c>
      <c r="J12" s="78"/>
      <c r="K12" s="78"/>
      <c r="L12" s="78"/>
      <c r="M12" s="78"/>
      <c r="N12" s="78"/>
      <c r="O12" s="79"/>
      <c r="P12" s="79"/>
      <c r="Q12" s="39"/>
    </row>
    <row r="13" spans="1:17" ht="15" x14ac:dyDescent="0.25">
      <c r="A13" s="73" t="str">
        <f>+'2024'!A13</f>
        <v>1.1.1.3</v>
      </c>
      <c r="B13" s="73" t="str">
        <f>+'2024'!B13</f>
        <v xml:space="preserve">Asegurar la operatividad de los CAV de Flora </v>
      </c>
      <c r="C13" s="73" t="str">
        <f>+'2024'!C13</f>
        <v>Número</v>
      </c>
      <c r="D13" s="73" t="str">
        <f>+'2024'!D13</f>
        <v># de CAV</v>
      </c>
      <c r="E13" s="75">
        <v>1</v>
      </c>
      <c r="F13" s="46">
        <f t="shared" si="5"/>
        <v>220000000</v>
      </c>
      <c r="G13" s="80"/>
      <c r="H13" s="78">
        <f>180000000-5220000</f>
        <v>174780000</v>
      </c>
      <c r="I13" s="78">
        <v>40000000</v>
      </c>
      <c r="J13" s="78"/>
      <c r="K13" s="78"/>
      <c r="L13" s="78"/>
      <c r="M13" s="78">
        <v>5220000</v>
      </c>
      <c r="N13" s="78"/>
      <c r="O13" s="79"/>
      <c r="P13" s="79"/>
      <c r="Q13" s="39"/>
    </row>
    <row r="14" spans="1:17" ht="30" x14ac:dyDescent="0.25">
      <c r="A14" s="73" t="str">
        <f>+'2024'!A14</f>
        <v>1.1.1.4</v>
      </c>
      <c r="B14" s="73" t="str">
        <f>+'2024'!B14</f>
        <v>Implementar planes de manejo y acciones para la conservación de especies amenazadas de flora</v>
      </c>
      <c r="C14" s="73" t="str">
        <f>+'2024'!C14</f>
        <v>Número</v>
      </c>
      <c r="D14" s="73" t="str">
        <f>+'2024'!D14</f>
        <v xml:space="preserve"># de planes de manejo </v>
      </c>
      <c r="E14" s="75">
        <v>1</v>
      </c>
      <c r="F14" s="46">
        <f t="shared" si="5"/>
        <v>100000000</v>
      </c>
      <c r="G14" s="80"/>
      <c r="H14" s="78">
        <v>80000000</v>
      </c>
      <c r="I14" s="78">
        <v>20000000</v>
      </c>
      <c r="J14" s="78"/>
      <c r="K14" s="78"/>
      <c r="L14" s="78"/>
      <c r="M14" s="78"/>
      <c r="N14" s="78"/>
      <c r="O14" s="79"/>
      <c r="P14" s="79"/>
      <c r="Q14" s="39"/>
    </row>
    <row r="15" spans="1:17" ht="30" x14ac:dyDescent="0.25">
      <c r="A15" s="73" t="str">
        <f>+'2024'!A15</f>
        <v>1.1.1.5</v>
      </c>
      <c r="B15" s="73" t="str">
        <f>+'2024'!B15</f>
        <v xml:space="preserve">Implementar proyecto de desarrollo forestal sostenible </v>
      </c>
      <c r="C15" s="73" t="str">
        <f>+'2024'!C15</f>
        <v>Número</v>
      </c>
      <c r="D15" s="73" t="str">
        <f>+'2024'!D15</f>
        <v>#proyecto de desarrollo forestal sostenible</v>
      </c>
      <c r="E15" s="81">
        <v>1</v>
      </c>
      <c r="F15" s="46">
        <f t="shared" si="5"/>
        <v>100000000</v>
      </c>
      <c r="G15" s="77"/>
      <c r="H15" s="78"/>
      <c r="I15" s="78">
        <v>100000000</v>
      </c>
      <c r="J15" s="78"/>
      <c r="K15" s="78"/>
      <c r="L15" s="78"/>
      <c r="M15" s="78"/>
      <c r="N15" s="78"/>
      <c r="O15" s="79"/>
      <c r="P15" s="79"/>
      <c r="Q15" s="39"/>
    </row>
    <row r="16" spans="1:17" ht="43.5" customHeight="1" x14ac:dyDescent="0.25">
      <c r="A16" s="73" t="str">
        <f>+'2024'!A16</f>
        <v>1.1.1.6</v>
      </c>
      <c r="B16" s="73" t="str">
        <f>+'2024'!B16</f>
        <v xml:space="preserve">Implementar estrátegias de incentivos para la conservación de la biodiversidad y sus servicios ecosistémicos </v>
      </c>
      <c r="C16" s="73" t="str">
        <f>+'2024'!C16</f>
        <v>Número</v>
      </c>
      <c r="D16" s="73" t="str">
        <f>+'2024'!D16</f>
        <v># de estrategias de pagos por servicios ambientales implementadas</v>
      </c>
      <c r="E16" s="82">
        <v>1</v>
      </c>
      <c r="F16" s="46">
        <f t="shared" si="5"/>
        <v>120000000</v>
      </c>
      <c r="G16" s="80"/>
      <c r="H16" s="78"/>
      <c r="I16" s="78">
        <v>120000000</v>
      </c>
      <c r="J16" s="78"/>
      <c r="K16" s="78"/>
      <c r="L16" s="78"/>
      <c r="M16" s="78"/>
      <c r="N16" s="78"/>
      <c r="O16" s="79"/>
      <c r="P16" s="79"/>
      <c r="Q16" s="39"/>
    </row>
    <row r="17" spans="1:17" ht="30" x14ac:dyDescent="0.25">
      <c r="A17" s="73" t="str">
        <f>+'2024'!A17</f>
        <v>1.1.1.7</v>
      </c>
      <c r="B17" s="73" t="str">
        <f>+'2024'!B17</f>
        <v>Prevenir y controlar la contaminación hídrica (saneamiento básico rural)</v>
      </c>
      <c r="C17" s="73" t="str">
        <f>+'2024'!C17</f>
        <v>Número</v>
      </c>
      <c r="D17" s="73" t="str">
        <f>+'2024'!D17</f>
        <v xml:space="preserve"># de unidades de saneamiento básico rural </v>
      </c>
      <c r="E17" s="203">
        <v>123</v>
      </c>
      <c r="F17" s="46">
        <f t="shared" si="5"/>
        <v>1004542968</v>
      </c>
      <c r="G17" s="85"/>
      <c r="H17" s="78"/>
      <c r="I17" s="78"/>
      <c r="J17" s="78"/>
      <c r="K17" s="78"/>
      <c r="L17" s="5">
        <v>1004542968</v>
      </c>
      <c r="M17" s="78"/>
      <c r="N17" s="78"/>
      <c r="O17" s="79"/>
      <c r="P17" s="79"/>
      <c r="Q17" s="39"/>
    </row>
    <row r="18" spans="1:17" ht="30" x14ac:dyDescent="0.25">
      <c r="A18" s="73" t="str">
        <f>+'2024'!A18</f>
        <v>1.1.1.8</v>
      </c>
      <c r="B18" s="73" t="str">
        <f>+'2024'!B18</f>
        <v>Prevenir y controlar la contaminación hídrica (saneamiento básico urbano)</v>
      </c>
      <c r="C18" s="73" t="str">
        <f>+'2024'!C18</f>
        <v>Número</v>
      </c>
      <c r="D18" s="73" t="str">
        <f>+'2024'!D18</f>
        <v># de municipios con obras  saneamiento básico urbano</v>
      </c>
      <c r="E18" s="204">
        <v>3</v>
      </c>
      <c r="F18" s="46">
        <f t="shared" si="5"/>
        <v>3176857032</v>
      </c>
      <c r="G18" s="86"/>
      <c r="H18" s="78"/>
      <c r="I18" s="78"/>
      <c r="J18" s="78"/>
      <c r="K18" s="78"/>
      <c r="L18" s="7">
        <f>800000000+1200000000+460000000-300000000+926857032+20000000</f>
        <v>3106857032</v>
      </c>
      <c r="M18" s="78"/>
      <c r="N18" s="78"/>
      <c r="O18" s="79"/>
      <c r="P18" s="79">
        <v>70000000</v>
      </c>
      <c r="Q18" s="39"/>
    </row>
    <row r="19" spans="1:17" ht="30" x14ac:dyDescent="0.25">
      <c r="A19" s="73" t="str">
        <f>+'2024'!A19</f>
        <v>1.1.1.9</v>
      </c>
      <c r="B19" s="73" t="str">
        <f>+'2024'!B19</f>
        <v xml:space="preserve">Implementar acciones de los planes de manejo de áreas protegidas y ecosistemas estrátegicos </v>
      </c>
      <c r="C19" s="73" t="str">
        <f>+'2024'!C19</f>
        <v>Número</v>
      </c>
      <c r="D19" s="73" t="str">
        <f>+'2024'!D19</f>
        <v># planes de manejo con  acciones implementadas</v>
      </c>
      <c r="E19" s="87">
        <v>3</v>
      </c>
      <c r="F19" s="46">
        <f t="shared" si="5"/>
        <v>420000000</v>
      </c>
      <c r="G19" s="80"/>
      <c r="H19" s="78"/>
      <c r="I19" s="78">
        <v>120000000</v>
      </c>
      <c r="J19" s="78"/>
      <c r="K19" s="78">
        <v>300000000</v>
      </c>
      <c r="L19" s="78"/>
      <c r="M19" s="78"/>
      <c r="N19" s="78"/>
      <c r="O19" s="79"/>
      <c r="P19" s="79"/>
      <c r="Q19" s="39"/>
    </row>
    <row r="20" spans="1:17" ht="48" customHeight="1" x14ac:dyDescent="0.25">
      <c r="A20" s="73" t="str">
        <f>+'2024'!A20</f>
        <v>1.1.1.10</v>
      </c>
      <c r="B20" s="73" t="str">
        <f>+'2024'!B20</f>
        <v>Implementar otras estrategias de conservación  y  apoyar la declaratoria de las  Reservas Naturales de la Sociedad Civil</v>
      </c>
      <c r="C20" s="73" t="str">
        <f>+'2024'!C20</f>
        <v>Número</v>
      </c>
      <c r="D20" s="73" t="str">
        <f>+'2024'!D20</f>
        <v># de predios con otras estratégias de conservación implementadas</v>
      </c>
      <c r="E20" s="75">
        <v>5</v>
      </c>
      <c r="F20" s="46">
        <f t="shared" si="5"/>
        <v>160000000</v>
      </c>
      <c r="G20" s="80"/>
      <c r="H20" s="78">
        <v>60000000</v>
      </c>
      <c r="I20" s="78">
        <v>100000000</v>
      </c>
      <c r="J20" s="78"/>
      <c r="K20" s="78"/>
      <c r="L20" s="78"/>
      <c r="M20" s="78"/>
      <c r="N20" s="78"/>
      <c r="O20" s="79"/>
      <c r="P20" s="79"/>
      <c r="Q20" s="39"/>
    </row>
    <row r="21" spans="1:17" ht="39" customHeight="1" x14ac:dyDescent="0.25">
      <c r="A21" s="73" t="str">
        <f>+'2024'!A21</f>
        <v>1.1.1.11</v>
      </c>
      <c r="B21" s="73" t="str">
        <f>+'2024'!B21</f>
        <v xml:space="preserve">Apoyar proyectos de uso sostenible de la biodiversidad y sus servicios ecosistemicos </v>
      </c>
      <c r="C21" s="73" t="str">
        <f>+'2024'!C21</f>
        <v>Número</v>
      </c>
      <c r="D21" s="73" t="str">
        <f>+'2024'!D21</f>
        <v># de proyectos apoyados</v>
      </c>
      <c r="E21" s="82">
        <v>3</v>
      </c>
      <c r="F21" s="46">
        <f t="shared" si="5"/>
        <v>290000000</v>
      </c>
      <c r="G21" s="80"/>
      <c r="H21" s="78">
        <v>100000000</v>
      </c>
      <c r="I21" s="129">
        <v>90000000</v>
      </c>
      <c r="J21" s="129"/>
      <c r="K21" s="129"/>
      <c r="L21" s="129"/>
      <c r="M21" s="129"/>
      <c r="N21" s="129"/>
      <c r="O21" s="130"/>
      <c r="P21" s="130"/>
      <c r="Q21" s="154">
        <v>100000000</v>
      </c>
    </row>
    <row r="22" spans="1:17" ht="45" x14ac:dyDescent="0.25">
      <c r="A22" s="73" t="str">
        <f>+'2024'!A22</f>
        <v>1.1.1.12</v>
      </c>
      <c r="B22" s="73" t="str">
        <f>+'2024'!B22</f>
        <v xml:space="preserve">Asesorar a los entes territoriales y otros actores para la conservacion, manejo y uso sostenible de la Biodiversidad y sus servicios ecosistemicos </v>
      </c>
      <c r="C22" s="73" t="str">
        <f>+'2024'!C22</f>
        <v>Número</v>
      </c>
      <c r="D22" s="73" t="str">
        <f>+'2024'!D22</f>
        <v># de municipios asesorados</v>
      </c>
      <c r="E22" s="81">
        <v>27</v>
      </c>
      <c r="F22" s="46">
        <f t="shared" si="5"/>
        <v>290000000</v>
      </c>
      <c r="G22" s="88"/>
      <c r="H22" s="35">
        <v>90000000</v>
      </c>
      <c r="I22" s="39"/>
      <c r="J22" s="39"/>
      <c r="K22" s="39"/>
      <c r="L22" s="39"/>
      <c r="M22" s="39"/>
      <c r="N22" s="39"/>
      <c r="O22" s="39"/>
      <c r="P22" s="39"/>
      <c r="Q22" s="39">
        <v>200000000</v>
      </c>
    </row>
    <row r="23" spans="1:17" ht="75" customHeight="1" x14ac:dyDescent="0.25">
      <c r="A23" s="98" t="str">
        <f>+'2024'!A23</f>
        <v>1.1.1.13</v>
      </c>
      <c r="B23" s="98" t="str">
        <f>+'2024'!B23</f>
        <v>Impulsar el desarrollo de sistemas regenerativos de producción agrícola y pecuaria agroecológica, como soporte de la recuperación de la biodiversidad, los suelos y la conectividad funcional.</v>
      </c>
      <c r="C23" s="98" t="str">
        <f>+'2024'!C23</f>
        <v>Número</v>
      </c>
      <c r="D23" s="98" t="str">
        <f>+'2024'!D23</f>
        <v># de iniciativas apoyadas</v>
      </c>
      <c r="E23" s="345">
        <v>7</v>
      </c>
      <c r="F23" s="46">
        <f t="shared" si="5"/>
        <v>105000000</v>
      </c>
      <c r="G23" s="88"/>
      <c r="H23" s="39"/>
      <c r="I23" s="104">
        <v>105000000</v>
      </c>
      <c r="J23" s="39"/>
      <c r="K23" s="39"/>
      <c r="L23" s="39"/>
      <c r="M23" s="39"/>
      <c r="N23" s="39"/>
      <c r="O23" s="39"/>
      <c r="P23" s="39"/>
      <c r="Q23" s="39"/>
    </row>
    <row r="24" spans="1:17" s="89" customFormat="1" ht="48.75" customHeight="1" x14ac:dyDescent="0.25">
      <c r="A24" s="284" t="str">
        <f>+'2024'!A24</f>
        <v>PROYECTO 1.1.2</v>
      </c>
      <c r="B24" s="284" t="str">
        <f>+'2024'!B24</f>
        <v xml:space="preserve">Gestion del conocimiento e innovación para la conservación y uso sostenible de la biodiversidad y sus servicios ecosistémicos </v>
      </c>
      <c r="C24" s="284" t="str">
        <f>+'2024'!C24</f>
        <v>CÓDIGO DNP</v>
      </c>
      <c r="D24" s="284">
        <f>+'2024'!D24</f>
        <v>3202</v>
      </c>
      <c r="E24" s="105"/>
      <c r="F24" s="92">
        <f t="shared" si="5"/>
        <v>2570000000</v>
      </c>
      <c r="G24" s="91">
        <f>SUM(G26:G34)</f>
        <v>0</v>
      </c>
      <c r="H24" s="91">
        <f t="shared" ref="H24:Q24" si="6">SUM(H26:H35)</f>
        <v>1290000000</v>
      </c>
      <c r="I24" s="91">
        <f t="shared" si="6"/>
        <v>330000000</v>
      </c>
      <c r="J24" s="91">
        <f t="shared" si="6"/>
        <v>0</v>
      </c>
      <c r="K24" s="91">
        <f t="shared" si="6"/>
        <v>350000000</v>
      </c>
      <c r="L24" s="91">
        <f t="shared" si="6"/>
        <v>600000000</v>
      </c>
      <c r="M24" s="91">
        <f t="shared" si="6"/>
        <v>0</v>
      </c>
      <c r="N24" s="91">
        <f t="shared" si="6"/>
        <v>0</v>
      </c>
      <c r="O24" s="91">
        <f t="shared" si="6"/>
        <v>0</v>
      </c>
      <c r="P24" s="91">
        <f t="shared" si="6"/>
        <v>0</v>
      </c>
      <c r="Q24" s="91">
        <f t="shared" si="6"/>
        <v>0</v>
      </c>
    </row>
    <row r="25" spans="1:17" s="158" customFormat="1" ht="30" x14ac:dyDescent="0.25">
      <c r="A25" s="282" t="str">
        <f>+'2024'!A25</f>
        <v>CODIGO</v>
      </c>
      <c r="B25" s="282" t="str">
        <f>+'2024'!B25</f>
        <v>ACCIONES 
(INFINITIVO)</v>
      </c>
      <c r="C25" s="282" t="str">
        <f>+'2024'!C25</f>
        <v>UNIDAD 
DE MEDIDA</v>
      </c>
      <c r="D25" s="282" t="str">
        <f>+'2024'!D25</f>
        <v>INDICADOR 
FÓRMULA</v>
      </c>
      <c r="E25" s="155" t="s">
        <v>395</v>
      </c>
      <c r="F25" s="157" t="s">
        <v>396</v>
      </c>
      <c r="G25" s="161"/>
      <c r="H25" s="162"/>
      <c r="I25" s="162"/>
      <c r="J25" s="162"/>
      <c r="K25" s="162"/>
      <c r="L25" s="162"/>
      <c r="M25" s="162"/>
      <c r="N25" s="162"/>
      <c r="O25" s="159"/>
      <c r="P25" s="159"/>
      <c r="Q25" s="160"/>
    </row>
    <row r="26" spans="1:17" ht="24.75" customHeight="1" x14ac:dyDescent="0.25">
      <c r="A26" s="73" t="str">
        <f>+'2024'!A26</f>
        <v>1.1.2.1</v>
      </c>
      <c r="B26" s="73" t="str">
        <f>+'2024'!B26</f>
        <v xml:space="preserve">Realizar análisis de efectividad de áreas protegidas </v>
      </c>
      <c r="C26" s="73" t="str">
        <f>+'2024'!C26</f>
        <v>Número</v>
      </c>
      <c r="D26" s="73" t="str">
        <f>+'2024'!D26</f>
        <v># de AP con análisis de efectividad</v>
      </c>
      <c r="E26" s="96">
        <v>16</v>
      </c>
      <c r="F26" s="46">
        <f t="shared" ref="F26:F34" si="7">SUM(G26:R26)</f>
        <v>90000000</v>
      </c>
      <c r="G26" s="97"/>
      <c r="H26" s="78">
        <v>90000000</v>
      </c>
      <c r="I26" s="78"/>
      <c r="J26" s="78"/>
      <c r="K26" s="78"/>
      <c r="L26" s="78"/>
      <c r="M26" s="78"/>
      <c r="N26" s="78"/>
      <c r="O26" s="79"/>
      <c r="P26" s="79"/>
      <c r="Q26" s="39"/>
    </row>
    <row r="27" spans="1:17" ht="45.75" customHeight="1" x14ac:dyDescent="0.25">
      <c r="A27" s="73" t="str">
        <f>+'2024'!A27</f>
        <v>1.1.2.2</v>
      </c>
      <c r="B27" s="73" t="str">
        <f>+'2024'!B27</f>
        <v>Realizar estudios de biodiversidad y servicios ecosistémicos para actualizar la línea base del departamento</v>
      </c>
      <c r="C27" s="73" t="str">
        <f>+'2024'!C27</f>
        <v>Número</v>
      </c>
      <c r="D27" s="73" t="str">
        <f>+'2024'!D27</f>
        <v># de estudios de biodiversidad</v>
      </c>
      <c r="E27" s="96">
        <v>1</v>
      </c>
      <c r="F27" s="46">
        <f t="shared" si="7"/>
        <v>150000000</v>
      </c>
      <c r="G27" s="97"/>
      <c r="H27" s="78">
        <v>150000000</v>
      </c>
      <c r="I27" s="78"/>
      <c r="J27" s="78"/>
      <c r="K27" s="78"/>
      <c r="L27" s="78"/>
      <c r="M27" s="78"/>
      <c r="N27" s="78"/>
      <c r="O27" s="79"/>
      <c r="P27" s="79"/>
      <c r="Q27" s="39"/>
    </row>
    <row r="28" spans="1:17" ht="46.5" customHeight="1" x14ac:dyDescent="0.25">
      <c r="A28" s="73" t="str">
        <f>+'2024'!A28</f>
        <v>1.1.2.3</v>
      </c>
      <c r="B28" s="73" t="str">
        <f>+'2024'!B28</f>
        <v>Realizar estudios de capacidad de carga turística en áreas ambientales estratégicas para reglamentar el ecoturismo</v>
      </c>
      <c r="C28" s="73" t="str">
        <f>+'2024'!C28</f>
        <v>Número</v>
      </c>
      <c r="D28" s="73" t="str">
        <f>+'2024'!D28</f>
        <v># de estudios de capacidad de carga</v>
      </c>
      <c r="E28" s="96">
        <v>0</v>
      </c>
      <c r="F28" s="46">
        <f t="shared" si="7"/>
        <v>0</v>
      </c>
      <c r="G28" s="97"/>
      <c r="H28" s="78"/>
      <c r="I28" s="78"/>
      <c r="J28" s="78"/>
      <c r="K28" s="78"/>
      <c r="L28" s="78"/>
      <c r="M28" s="78"/>
      <c r="N28" s="78"/>
      <c r="O28" s="79"/>
      <c r="P28" s="79"/>
      <c r="Q28" s="39"/>
    </row>
    <row r="29" spans="1:17" ht="15" customHeight="1" x14ac:dyDescent="0.25">
      <c r="A29" s="73" t="str">
        <f>+'2024'!A29</f>
        <v>1.1.2.4</v>
      </c>
      <c r="B29" s="73" t="str">
        <f>+'2024'!B29</f>
        <v>Realizar estudios de calidad de aire</v>
      </c>
      <c r="C29" s="73" t="str">
        <f>+'2024'!C29</f>
        <v>Número</v>
      </c>
      <c r="D29" s="73" t="str">
        <f>+'2024'!D29</f>
        <v># de estudios de calidad de aire</v>
      </c>
      <c r="E29" s="96">
        <v>0</v>
      </c>
      <c r="F29" s="46">
        <f t="shared" si="7"/>
        <v>0</v>
      </c>
      <c r="G29" s="97"/>
      <c r="H29" s="78"/>
      <c r="I29" s="78"/>
      <c r="J29" s="78"/>
      <c r="K29" s="78"/>
      <c r="L29" s="78"/>
      <c r="M29" s="78"/>
      <c r="N29" s="78"/>
      <c r="O29" s="79"/>
      <c r="P29" s="79"/>
      <c r="Q29" s="39"/>
    </row>
    <row r="30" spans="1:17" ht="30" x14ac:dyDescent="0.25">
      <c r="A30" s="73" t="str">
        <f>+'2024'!A30</f>
        <v>1.1.2.5</v>
      </c>
      <c r="B30" s="73" t="str">
        <f>+'2024'!B30</f>
        <v>Ampliar y garantizar la operación y el mantenimiento de las  redes de monitoreo</v>
      </c>
      <c r="C30" s="73" t="str">
        <f>+'2024'!C30</f>
        <v>Número</v>
      </c>
      <c r="D30" s="73" t="str">
        <f>+'2024'!D30</f>
        <v>Número de redes de monitoreo en operación</v>
      </c>
      <c r="E30" s="96">
        <v>6</v>
      </c>
      <c r="F30" s="46">
        <f t="shared" si="7"/>
        <v>1650000000</v>
      </c>
      <c r="G30" s="97"/>
      <c r="H30" s="78">
        <v>700000000</v>
      </c>
      <c r="I30" s="78"/>
      <c r="J30" s="78"/>
      <c r="K30" s="78">
        <v>350000000</v>
      </c>
      <c r="L30" s="78">
        <v>600000000</v>
      </c>
      <c r="M30" s="78"/>
      <c r="N30" s="78"/>
      <c r="O30" s="79"/>
      <c r="P30" s="79"/>
      <c r="Q30" s="39"/>
    </row>
    <row r="31" spans="1:17" ht="30" x14ac:dyDescent="0.25">
      <c r="A31" s="73" t="str">
        <f>+'2024'!A31</f>
        <v>1.1.2.6</v>
      </c>
      <c r="B31" s="73" t="str">
        <f>+'2024'!B31</f>
        <v>Garantizar el funcionamiento del Sistema Información Ambiental</v>
      </c>
      <c r="C31" s="73" t="str">
        <f>+'2024'!C31</f>
        <v>Número</v>
      </c>
      <c r="D31" s="73" t="str">
        <f>+'2024'!D31</f>
        <v>Sistema de información regional funcionando</v>
      </c>
      <c r="E31" s="96">
        <v>1</v>
      </c>
      <c r="F31" s="46">
        <f t="shared" si="7"/>
        <v>230000000</v>
      </c>
      <c r="G31" s="97"/>
      <c r="H31" s="78">
        <v>230000000</v>
      </c>
      <c r="I31" s="78"/>
      <c r="J31" s="78"/>
      <c r="K31" s="78"/>
      <c r="L31" s="78"/>
      <c r="M31" s="78"/>
      <c r="N31" s="78"/>
      <c r="O31" s="79"/>
      <c r="P31" s="79"/>
      <c r="Q31" s="39"/>
    </row>
    <row r="32" spans="1:17" ht="54" customHeight="1" x14ac:dyDescent="0.25">
      <c r="A32" s="73" t="str">
        <f>+'2024'!A32</f>
        <v>1.1.2.7</v>
      </c>
      <c r="B32" s="73" t="str">
        <f>+'2024'!B32</f>
        <v xml:space="preserve">Realizar estudios tendientes a la caracterización de la degradación de suelos </v>
      </c>
      <c r="C32" s="73" t="str">
        <f>+'2024'!C32</f>
        <v xml:space="preserve">Porcentaje </v>
      </c>
      <c r="D32" s="73" t="str">
        <f>+'2024'!D32</f>
        <v xml:space="preserve">% estudios de caracterización de la degradación de suelos </v>
      </c>
      <c r="E32" s="247">
        <v>50</v>
      </c>
      <c r="F32" s="46">
        <f t="shared" si="7"/>
        <v>150000000</v>
      </c>
      <c r="G32" s="97"/>
      <c r="H32" s="78"/>
      <c r="I32" s="78">
        <v>150000000</v>
      </c>
      <c r="J32" s="78"/>
      <c r="K32" s="78"/>
      <c r="L32" s="78"/>
      <c r="M32" s="78"/>
      <c r="N32" s="78"/>
      <c r="O32" s="79"/>
      <c r="P32" s="79"/>
      <c r="Q32" s="39"/>
    </row>
    <row r="33" spans="1:41" ht="35.25" customHeight="1" x14ac:dyDescent="0.25">
      <c r="A33" s="73" t="str">
        <f>+'2024'!A33</f>
        <v>1.1.2.8</v>
      </c>
      <c r="B33" s="73" t="str">
        <f>+'2024'!B33</f>
        <v>Ampliar el conocimiento hidrogeologico de la región centro sur del departamento de Caldas</v>
      </c>
      <c r="C33" s="73" t="str">
        <f>+'2024'!C33</f>
        <v xml:space="preserve">Porcentaje </v>
      </c>
      <c r="D33" s="73" t="str">
        <f>+'2024'!D33</f>
        <v>% de estudios Fases I y II</v>
      </c>
      <c r="E33" s="248">
        <v>100</v>
      </c>
      <c r="F33" s="46">
        <f t="shared" si="7"/>
        <v>180000000</v>
      </c>
      <c r="G33" s="80"/>
      <c r="H33" s="100"/>
      <c r="I33" s="78">
        <v>180000000</v>
      </c>
      <c r="J33" s="78"/>
      <c r="K33" s="78"/>
      <c r="L33" s="78"/>
      <c r="M33" s="78"/>
      <c r="N33" s="78"/>
      <c r="O33" s="79"/>
      <c r="P33" s="79"/>
      <c r="Q33" s="39"/>
    </row>
    <row r="34" spans="1:41" ht="54" customHeight="1" x14ac:dyDescent="0.25">
      <c r="A34" s="73" t="str">
        <f>+'2024'!A34</f>
        <v>1.1.2.9</v>
      </c>
      <c r="B34" s="73" t="str">
        <f>+'2024'!B34</f>
        <v>Desarrollar programa de monitoreo participativo en torno a la biodiversidad y los servicios ecosistemicos</v>
      </c>
      <c r="C34" s="73" t="str">
        <f>+'2024'!C34</f>
        <v>Número</v>
      </c>
      <c r="D34" s="73" t="str">
        <f>+'2024'!D34</f>
        <v xml:space="preserve"> Programa de Monitoreo Participativo</v>
      </c>
      <c r="E34" s="253">
        <v>1</v>
      </c>
      <c r="F34" s="46">
        <f t="shared" si="7"/>
        <v>120000000</v>
      </c>
      <c r="G34" s="102"/>
      <c r="H34" s="39">
        <v>120000000</v>
      </c>
      <c r="I34" s="154"/>
      <c r="J34" s="154"/>
      <c r="K34" s="154"/>
      <c r="L34" s="154"/>
      <c r="M34" s="154"/>
      <c r="N34" s="154"/>
      <c r="O34" s="154"/>
      <c r="P34" s="252"/>
      <c r="Q34" s="154"/>
      <c r="R34" s="10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</row>
    <row r="35" spans="1:41" ht="98.25" customHeight="1" x14ac:dyDescent="0.25">
      <c r="A35" s="98" t="str">
        <f>+'2024'!A35</f>
        <v>1.1.2.10</v>
      </c>
      <c r="B35" s="98" t="str">
        <f>+'2024'!B35</f>
        <v>Adelantar un estudio de caracterización sobre sistemas locales de cosecha y aprovechamiento de agua lluvia y el potencial de la incorporación de su uso doméstico , comercial e industrial como mecanismo de adaptación al cambio climático y de aporte al ahorro y uso eficiente del recurso hídrico</v>
      </c>
      <c r="C35" s="98" t="str">
        <f>+'2024'!C35</f>
        <v xml:space="preserve">Porcentaje </v>
      </c>
      <c r="D35" s="98" t="str">
        <f>+'2024'!D35</f>
        <v>% de estudio de caracterización de cosecha y aprovechamiento de agua lluvia</v>
      </c>
      <c r="E35" s="344">
        <v>0</v>
      </c>
      <c r="F35" s="102">
        <f>SUM(H35:AO35)</f>
        <v>0</v>
      </c>
      <c r="G35" s="249"/>
      <c r="I35" s="39"/>
      <c r="J35" s="39"/>
      <c r="K35" s="39"/>
      <c r="L35" s="39"/>
      <c r="M35" s="39"/>
      <c r="N35" s="39"/>
      <c r="O35" s="39"/>
      <c r="P35" s="39"/>
      <c r="Q35" s="39"/>
    </row>
    <row r="36" spans="1:41" s="89" customFormat="1" ht="36" customHeight="1" x14ac:dyDescent="0.25">
      <c r="A36" s="281" t="str">
        <f>+'2024'!A36</f>
        <v>PROYECTO 1.1.3</v>
      </c>
      <c r="B36" s="281" t="str">
        <f>+'2024'!B36</f>
        <v>Conservacion y Manejo de la Fauna Silvestre</v>
      </c>
      <c r="C36" s="281" t="str">
        <f>+'2024'!C36</f>
        <v>CÓDIGO DNP</v>
      </c>
      <c r="D36" s="281">
        <f>+'2024'!D36</f>
        <v>3202</v>
      </c>
      <c r="E36" s="105"/>
      <c r="F36" s="92">
        <f>SUM(G36:R36)</f>
        <v>1737220000</v>
      </c>
      <c r="G36" s="106">
        <f t="shared" ref="G36:Q36" si="8">SUM(G38:G44)</f>
        <v>0</v>
      </c>
      <c r="H36" s="106">
        <f t="shared" si="8"/>
        <v>920000000</v>
      </c>
      <c r="I36" s="106">
        <f t="shared" si="8"/>
        <v>812000000</v>
      </c>
      <c r="J36" s="106">
        <f t="shared" si="8"/>
        <v>0</v>
      </c>
      <c r="K36" s="106">
        <f t="shared" si="8"/>
        <v>0</v>
      </c>
      <c r="L36" s="106">
        <f t="shared" si="8"/>
        <v>0</v>
      </c>
      <c r="M36" s="106">
        <f t="shared" si="8"/>
        <v>0</v>
      </c>
      <c r="N36" s="106">
        <f t="shared" si="8"/>
        <v>5220000</v>
      </c>
      <c r="O36" s="106">
        <f t="shared" si="8"/>
        <v>0</v>
      </c>
      <c r="P36" s="106">
        <f t="shared" si="8"/>
        <v>0</v>
      </c>
      <c r="Q36" s="172">
        <f t="shared" si="8"/>
        <v>0</v>
      </c>
    </row>
    <row r="37" spans="1:41" s="158" customFormat="1" ht="30" x14ac:dyDescent="0.25">
      <c r="A37" s="282" t="str">
        <f>+'2024'!A37</f>
        <v>CODIGO</v>
      </c>
      <c r="B37" s="282" t="str">
        <f>+'2024'!B37</f>
        <v>ACCIONES 
(INFINITIVO)</v>
      </c>
      <c r="C37" s="282" t="str">
        <f>+'2024'!C37</f>
        <v>UNIDAD 
DE MEDIDA</v>
      </c>
      <c r="D37" s="282" t="str">
        <f>+'2024'!D37</f>
        <v>INDICADOR 
FÓRMULA</v>
      </c>
      <c r="E37" s="156" t="s">
        <v>395</v>
      </c>
      <c r="F37" s="157" t="s">
        <v>396</v>
      </c>
      <c r="G37" s="161"/>
      <c r="H37" s="162"/>
      <c r="I37" s="162"/>
      <c r="J37" s="162"/>
      <c r="K37" s="162"/>
      <c r="L37" s="162"/>
      <c r="M37" s="162"/>
      <c r="N37" s="162"/>
      <c r="O37" s="159"/>
      <c r="P37" s="159"/>
      <c r="Q37" s="160"/>
    </row>
    <row r="38" spans="1:41" ht="53.25" customHeight="1" x14ac:dyDescent="0.25">
      <c r="A38" s="73" t="str">
        <f>+'2024'!A38</f>
        <v>1.1.3.1</v>
      </c>
      <c r="B38" s="73" t="str">
        <f>+'2024'!B38</f>
        <v xml:space="preserve">Asegurar la operatividad de los CAV de Fauna de Corpocaldas </v>
      </c>
      <c r="C38" s="73" t="str">
        <f>+'2024'!C38</f>
        <v>Número</v>
      </c>
      <c r="D38" s="73" t="str">
        <f>+'2024'!D38</f>
        <v># de CAV implementados y operando</v>
      </c>
      <c r="E38" s="75">
        <v>3</v>
      </c>
      <c r="F38" s="46">
        <f t="shared" ref="F38:F46" si="9">SUM(G38:R38)</f>
        <v>1005220000</v>
      </c>
      <c r="G38" s="80"/>
      <c r="H38" s="78">
        <v>400000000</v>
      </c>
      <c r="I38" s="78">
        <v>600000000</v>
      </c>
      <c r="J38" s="78"/>
      <c r="K38" s="78"/>
      <c r="L38" s="78"/>
      <c r="M38" s="78"/>
      <c r="N38" s="78">
        <v>5220000</v>
      </c>
      <c r="O38" s="79"/>
      <c r="P38" s="79"/>
      <c r="Q38" s="39"/>
    </row>
    <row r="39" spans="1:41" ht="50.25" customHeight="1" x14ac:dyDescent="0.25">
      <c r="A39" s="73" t="str">
        <f>+'2024'!A39</f>
        <v>1.1.3.2</v>
      </c>
      <c r="B39" s="73" t="str">
        <f>+'2024'!B39</f>
        <v>Diseñar e Implementar una estrategia para prevención y control de la casería, el trafico y tenencia ilegal de fauna silvestre</v>
      </c>
      <c r="C39" s="73" t="str">
        <f>+'2024'!C39</f>
        <v>Número</v>
      </c>
      <c r="D39" s="73" t="str">
        <f>+'2024'!D39</f>
        <v xml:space="preserve">Estrategia diseñada e implementada </v>
      </c>
      <c r="E39" s="75">
        <v>1</v>
      </c>
      <c r="F39" s="76">
        <f t="shared" si="9"/>
        <v>80000000</v>
      </c>
      <c r="G39" s="77"/>
      <c r="H39" s="78">
        <v>80000000</v>
      </c>
      <c r="I39" s="78"/>
      <c r="J39" s="78"/>
      <c r="K39" s="78"/>
      <c r="L39" s="78"/>
      <c r="M39" s="78"/>
      <c r="N39" s="78"/>
      <c r="O39" s="79"/>
      <c r="P39" s="79"/>
      <c r="Q39" s="39"/>
    </row>
    <row r="40" spans="1:41" ht="45" x14ac:dyDescent="0.25">
      <c r="A40" s="73" t="str">
        <f>+'2024'!A40</f>
        <v>1.1.3.3</v>
      </c>
      <c r="B40" s="73" t="str">
        <f>+'2024'!B40</f>
        <v>Desarrollar acciones para la conservación de especies amenazadas, endémicas y focales con y sin plan de manejo</v>
      </c>
      <c r="C40" s="73" t="str">
        <f>+'2024'!C40</f>
        <v>Número</v>
      </c>
      <c r="D40" s="73" t="str">
        <f>+'2024'!D40</f>
        <v># de especies amenazadas, endémicas y focales con acciones de conservación</v>
      </c>
      <c r="E40" s="75">
        <v>3</v>
      </c>
      <c r="F40" s="46">
        <f t="shared" si="9"/>
        <v>120000000</v>
      </c>
      <c r="G40" s="80"/>
      <c r="H40" s="78">
        <v>80000000</v>
      </c>
      <c r="I40" s="78">
        <v>40000000</v>
      </c>
      <c r="J40" s="78"/>
      <c r="K40" s="78"/>
      <c r="L40" s="78"/>
      <c r="M40" s="78"/>
      <c r="N40" s="78"/>
      <c r="O40" s="79"/>
      <c r="P40" s="79"/>
      <c r="Q40" s="39"/>
    </row>
    <row r="41" spans="1:41" ht="30.75" customHeight="1" x14ac:dyDescent="0.25">
      <c r="A41" s="73" t="str">
        <f>+'2024'!A41</f>
        <v>1.1.3.4</v>
      </c>
      <c r="B41" s="73" t="str">
        <f>+'2024'!B41</f>
        <v>Consolidar y operar la red de monitoreo de fauna silvestre en ecosistemas naturales y transformados</v>
      </c>
      <c r="C41" s="73" t="str">
        <f>+'2024'!C41</f>
        <v>Número</v>
      </c>
      <c r="D41" s="73" t="str">
        <f>+'2024'!D41</f>
        <v>Red de monitoreo de fauna operando</v>
      </c>
      <c r="E41" s="75">
        <v>1</v>
      </c>
      <c r="F41" s="46">
        <f t="shared" si="9"/>
        <v>92000000</v>
      </c>
      <c r="G41" s="80"/>
      <c r="H41" s="78">
        <v>50000000</v>
      </c>
      <c r="I41" s="78">
        <v>42000000</v>
      </c>
      <c r="J41" s="78"/>
      <c r="K41" s="78"/>
      <c r="L41" s="78"/>
      <c r="M41" s="78"/>
      <c r="N41" s="78"/>
      <c r="O41" s="79"/>
      <c r="P41" s="79"/>
      <c r="Q41" s="39"/>
    </row>
    <row r="42" spans="1:41" ht="30" x14ac:dyDescent="0.25">
      <c r="A42" s="73" t="str">
        <f>+'2024'!A42</f>
        <v>1.1.3.5</v>
      </c>
      <c r="B42" s="73" t="str">
        <f>+'2024'!B42</f>
        <v>Desarrollar monitoreo de los animales liberados y rehabilitados en Corpocaldas</v>
      </c>
      <c r="C42" s="73" t="str">
        <f>+'2024'!C42</f>
        <v xml:space="preserve">Porcentaje </v>
      </c>
      <c r="D42" s="73" t="str">
        <f>+'2024'!D42</f>
        <v xml:space="preserve">% de individuos liberados con monitoreo </v>
      </c>
      <c r="E42" s="254">
        <v>5</v>
      </c>
      <c r="F42" s="46">
        <f t="shared" si="9"/>
        <v>140000000</v>
      </c>
      <c r="G42" s="80"/>
      <c r="H42" s="78">
        <v>90000000</v>
      </c>
      <c r="I42" s="78">
        <v>50000000</v>
      </c>
      <c r="J42" s="78"/>
      <c r="K42" s="78"/>
      <c r="L42" s="78"/>
      <c r="M42" s="78"/>
      <c r="N42" s="78"/>
      <c r="O42" s="79"/>
      <c r="P42" s="79"/>
      <c r="Q42" s="39"/>
    </row>
    <row r="43" spans="1:41" ht="21.75" customHeight="1" x14ac:dyDescent="0.25">
      <c r="A43" s="73" t="str">
        <f>+'2024'!A43</f>
        <v>1.1.3.6</v>
      </c>
      <c r="B43" s="73" t="str">
        <f>+'2024'!B43</f>
        <v>Atender los conflictos reportados por fauna</v>
      </c>
      <c r="C43" s="73" t="str">
        <f>+'2024'!C43</f>
        <v>Porcentaje</v>
      </c>
      <c r="D43" s="73" t="str">
        <f>+'2024'!D43</f>
        <v>% de conflictos atendidos</v>
      </c>
      <c r="E43" s="75">
        <v>100</v>
      </c>
      <c r="F43" s="46">
        <f t="shared" si="9"/>
        <v>140000000</v>
      </c>
      <c r="G43" s="80"/>
      <c r="H43" s="78">
        <v>140000000</v>
      </c>
      <c r="I43" s="78"/>
      <c r="J43" s="78"/>
      <c r="K43" s="78"/>
      <c r="L43" s="78"/>
      <c r="M43" s="78"/>
      <c r="N43" s="78"/>
      <c r="O43" s="79"/>
      <c r="P43" s="79"/>
      <c r="Q43" s="39"/>
    </row>
    <row r="44" spans="1:41" ht="57" customHeight="1" x14ac:dyDescent="0.25">
      <c r="A44" s="73" t="str">
        <f>+'2024'!A44</f>
        <v>1.1.3.7</v>
      </c>
      <c r="B44" s="73" t="str">
        <f>+'2024'!B44</f>
        <v xml:space="preserve">Desarrollar acciones para prevenir, controlar y manejar especies exóticas e invasoras de fauna con y sin plan de manejo </v>
      </c>
      <c r="C44" s="73" t="str">
        <f>+'2024'!C44</f>
        <v>Número</v>
      </c>
      <c r="D44" s="73" t="str">
        <f>+'2024'!D44</f>
        <v># de planes de manejo para especies exoticas invasoras y generadoras de conflicto de fauna implementados</v>
      </c>
      <c r="E44" s="75">
        <v>3</v>
      </c>
      <c r="F44" s="46">
        <f t="shared" si="9"/>
        <v>160000000</v>
      </c>
      <c r="G44" s="80"/>
      <c r="H44" s="78">
        <v>80000000</v>
      </c>
      <c r="I44" s="78">
        <v>80000000</v>
      </c>
      <c r="J44" s="78"/>
      <c r="K44" s="78"/>
      <c r="L44" s="78"/>
      <c r="M44" s="78"/>
      <c r="N44" s="78"/>
      <c r="O44" s="79"/>
      <c r="P44" s="79"/>
      <c r="Q44" s="39"/>
    </row>
    <row r="45" spans="1:41" s="55" customFormat="1" ht="32.1" customHeight="1" x14ac:dyDescent="0.25">
      <c r="A45" s="280" t="str">
        <f>+'2024'!A45</f>
        <v>PROGRAMA 1.2</v>
      </c>
      <c r="B45" s="280" t="str">
        <f>+'2024'!B45</f>
        <v>PLANIFICACIÓN Y ORDENAMIENTO DEL BIOTERRITORIO</v>
      </c>
      <c r="C45" s="280"/>
      <c r="D45" s="280"/>
      <c r="E45" s="56"/>
      <c r="F45" s="109">
        <f t="shared" si="9"/>
        <v>2984000000</v>
      </c>
      <c r="G45" s="108">
        <f t="shared" ref="G45:Q45" si="10">+G46+G56</f>
        <v>0</v>
      </c>
      <c r="H45" s="108">
        <f t="shared" si="10"/>
        <v>2454000000</v>
      </c>
      <c r="I45" s="108">
        <f t="shared" si="10"/>
        <v>530000000</v>
      </c>
      <c r="J45" s="108">
        <f t="shared" si="10"/>
        <v>0</v>
      </c>
      <c r="K45" s="108">
        <f t="shared" si="10"/>
        <v>0</v>
      </c>
      <c r="L45" s="108">
        <f t="shared" si="10"/>
        <v>0</v>
      </c>
      <c r="M45" s="108">
        <f t="shared" si="10"/>
        <v>0</v>
      </c>
      <c r="N45" s="108">
        <f t="shared" si="10"/>
        <v>0</v>
      </c>
      <c r="O45" s="108">
        <f t="shared" si="10"/>
        <v>0</v>
      </c>
      <c r="P45" s="108">
        <f t="shared" si="10"/>
        <v>0</v>
      </c>
      <c r="Q45" s="57">
        <f t="shared" si="10"/>
        <v>0</v>
      </c>
    </row>
    <row r="46" spans="1:41" s="89" customFormat="1" ht="36" customHeight="1" x14ac:dyDescent="0.25">
      <c r="A46" s="281" t="str">
        <f>+'2024'!A46</f>
        <v>PROYECTO 1.2.1</v>
      </c>
      <c r="B46" s="281" t="str">
        <f>+'2024'!B46</f>
        <v xml:space="preserve">Agua y ordenamiento del bioterritorio </v>
      </c>
      <c r="C46" s="283" t="str">
        <f>+'2024'!C46</f>
        <v>CODIGO DNP</v>
      </c>
      <c r="D46" s="281">
        <f>+'2024'!D46</f>
        <v>3203</v>
      </c>
      <c r="E46" s="105"/>
      <c r="F46" s="92">
        <f t="shared" si="9"/>
        <v>1432000000</v>
      </c>
      <c r="G46" s="106">
        <f t="shared" ref="G46:Q46" si="11">SUM(G48:G55)</f>
        <v>0</v>
      </c>
      <c r="H46" s="106">
        <f t="shared" si="11"/>
        <v>1352000000</v>
      </c>
      <c r="I46" s="106">
        <f t="shared" si="11"/>
        <v>80000000</v>
      </c>
      <c r="J46" s="106">
        <f t="shared" si="11"/>
        <v>0</v>
      </c>
      <c r="K46" s="106">
        <f t="shared" si="11"/>
        <v>0</v>
      </c>
      <c r="L46" s="106">
        <f t="shared" si="11"/>
        <v>0</v>
      </c>
      <c r="M46" s="106">
        <f t="shared" si="11"/>
        <v>0</v>
      </c>
      <c r="N46" s="106">
        <f t="shared" si="11"/>
        <v>0</v>
      </c>
      <c r="O46" s="106">
        <f t="shared" si="11"/>
        <v>0</v>
      </c>
      <c r="P46" s="106">
        <f t="shared" si="11"/>
        <v>0</v>
      </c>
      <c r="Q46" s="92">
        <f t="shared" si="11"/>
        <v>0</v>
      </c>
    </row>
    <row r="47" spans="1:41" s="158" customFormat="1" ht="30" x14ac:dyDescent="0.25">
      <c r="A47" s="282" t="str">
        <f>+'2024'!A47</f>
        <v>CODIGO</v>
      </c>
      <c r="B47" s="282" t="str">
        <f>+'2024'!B47</f>
        <v>ACCIONES 
(INFINITIVO)</v>
      </c>
      <c r="C47" s="282" t="str">
        <f>+'2024'!C47</f>
        <v>UNIDAD 
DE MEDIDA</v>
      </c>
      <c r="D47" s="282" t="str">
        <f>+'2024'!D47</f>
        <v>INDICADOR 
FÓRMULA</v>
      </c>
      <c r="E47" s="155" t="s">
        <v>395</v>
      </c>
      <c r="F47" s="157" t="s">
        <v>396</v>
      </c>
      <c r="G47" s="161"/>
      <c r="H47" s="163"/>
      <c r="I47" s="162"/>
      <c r="J47" s="162"/>
      <c r="K47" s="162"/>
      <c r="L47" s="162"/>
      <c r="M47" s="162"/>
      <c r="N47" s="162"/>
      <c r="O47" s="159"/>
      <c r="P47" s="159"/>
      <c r="Q47" s="160"/>
    </row>
    <row r="48" spans="1:41" ht="60.75" customHeight="1" x14ac:dyDescent="0.25">
      <c r="A48" s="73" t="str">
        <f>+'2024'!A48</f>
        <v>1.2.1.1</v>
      </c>
      <c r="B48" s="73" t="str">
        <f>+'2024'!B48</f>
        <v>Revisar y ajustar las determinantes ambientales para el ordenamiento territorial de acuerdo con las dinámicas normativas y las condiciones del bioterritorio</v>
      </c>
      <c r="C48" s="73" t="str">
        <f>+'2024'!C48</f>
        <v>Porcentaje</v>
      </c>
      <c r="D48" s="73" t="str">
        <f>+'2024'!D48</f>
        <v>% Determinantes ambientales revisadas y ajustadas</v>
      </c>
      <c r="E48" s="75">
        <v>100</v>
      </c>
      <c r="F48" s="46">
        <f t="shared" ref="F48:F56" si="12">SUM(G48:R48)</f>
        <v>100000000</v>
      </c>
      <c r="G48" s="80"/>
      <c r="H48" s="100">
        <v>100000000</v>
      </c>
      <c r="I48" s="78"/>
      <c r="J48" s="78"/>
      <c r="K48" s="78"/>
      <c r="L48" s="78"/>
      <c r="M48" s="78"/>
      <c r="N48" s="78"/>
      <c r="O48" s="79"/>
      <c r="P48" s="79"/>
      <c r="Q48" s="39"/>
    </row>
    <row r="49" spans="1:17" ht="30" x14ac:dyDescent="0.25">
      <c r="A49" s="73" t="str">
        <f>+'2024'!A49</f>
        <v>1.2.1.2</v>
      </c>
      <c r="B49" s="73" t="str">
        <f>+'2024'!B49</f>
        <v>Acotar rondas hidricas para corrientes priorizadas de Caldas</v>
      </c>
      <c r="C49" s="73" t="str">
        <f>+'2024'!C49</f>
        <v>Número</v>
      </c>
      <c r="D49" s="73" t="str">
        <f>+'2024'!D49</f>
        <v># corrientes acotadas</v>
      </c>
      <c r="E49" s="75"/>
      <c r="F49" s="46">
        <f t="shared" si="12"/>
        <v>0</v>
      </c>
      <c r="G49" s="80"/>
      <c r="H49" s="100"/>
      <c r="I49" s="78"/>
      <c r="J49" s="78"/>
      <c r="K49" s="78"/>
      <c r="L49" s="78"/>
      <c r="M49" s="78"/>
      <c r="N49" s="78"/>
      <c r="O49" s="79"/>
      <c r="P49" s="79"/>
      <c r="Q49" s="39"/>
    </row>
    <row r="50" spans="1:17" ht="63" customHeight="1" x14ac:dyDescent="0.25">
      <c r="A50" s="73" t="str">
        <f>+'2024'!A50</f>
        <v>1.2.1.3</v>
      </c>
      <c r="B50" s="73" t="str">
        <f>+'2024'!B50</f>
        <v>Realizar asistencia tecnica a las entidades territoriales en la incorporación de las determinantes ambientales en los instrumentos de Ordenamiento  Territorial</v>
      </c>
      <c r="C50" s="73" t="str">
        <f>+'2024'!C50</f>
        <v>Número</v>
      </c>
      <c r="D50" s="73" t="str">
        <f>+'2024'!D50</f>
        <v># de Entidafes territoriales acompañadas</v>
      </c>
      <c r="E50" s="168">
        <v>28</v>
      </c>
      <c r="F50" s="46">
        <f t="shared" si="12"/>
        <v>260000000</v>
      </c>
      <c r="G50" s="80"/>
      <c r="H50" s="100">
        <v>260000000</v>
      </c>
      <c r="I50" s="78"/>
      <c r="J50" s="78"/>
      <c r="K50" s="78"/>
      <c r="L50" s="78"/>
      <c r="M50" s="78"/>
      <c r="N50" s="78"/>
      <c r="O50" s="79"/>
      <c r="P50" s="79"/>
      <c r="Q50" s="39"/>
    </row>
    <row r="51" spans="1:17" ht="61.5" customHeight="1" x14ac:dyDescent="0.25">
      <c r="A51" s="73" t="str">
        <f>+'2024'!A51</f>
        <v>1.2.1.4</v>
      </c>
      <c r="B51" s="73" t="str">
        <f>+'2024'!B51</f>
        <v xml:space="preserve">Realizar seguimiento a la aplicación de las determinantes ambientales en el Ordenamiento Territorial
</v>
      </c>
      <c r="C51" s="73" t="str">
        <f>+'2024'!C51</f>
        <v>Número</v>
      </c>
      <c r="D51" s="73" t="str">
        <f>+'2024'!D51</f>
        <v># de Entidades territoriales con seguimiento a las determinantes ambientales</v>
      </c>
      <c r="E51" s="75">
        <v>27</v>
      </c>
      <c r="F51" s="46">
        <f t="shared" si="12"/>
        <v>140000000</v>
      </c>
      <c r="G51" s="80"/>
      <c r="H51" s="100">
        <v>140000000</v>
      </c>
      <c r="I51" s="78"/>
      <c r="J51" s="78"/>
      <c r="K51" s="78"/>
      <c r="L51" s="78"/>
      <c r="M51" s="78"/>
      <c r="N51" s="78"/>
      <c r="O51" s="79"/>
      <c r="P51" s="79"/>
      <c r="Q51" s="39"/>
    </row>
    <row r="52" spans="1:17" ht="35.25" customHeight="1" x14ac:dyDescent="0.25">
      <c r="A52" s="73" t="str">
        <f>+'2024'!A52</f>
        <v>1.2.1.5</v>
      </c>
      <c r="B52" s="73" t="str">
        <f>+'2024'!B52</f>
        <v>Declarar o ampliar áreas protegidas en el departamento de Caldas</v>
      </c>
      <c r="C52" s="73" t="str">
        <f>+'2024'!C52</f>
        <v>Número</v>
      </c>
      <c r="D52" s="73" t="str">
        <f>+'2024'!D52</f>
        <v># de áreas declaradas</v>
      </c>
      <c r="E52" s="75">
        <v>1</v>
      </c>
      <c r="F52" s="46">
        <f t="shared" si="12"/>
        <v>120000000</v>
      </c>
      <c r="G52" s="80"/>
      <c r="H52" s="100">
        <v>120000000</v>
      </c>
      <c r="I52" s="78"/>
      <c r="J52" s="78"/>
      <c r="K52" s="78"/>
      <c r="L52" s="78"/>
      <c r="M52" s="78"/>
      <c r="N52" s="78"/>
      <c r="O52" s="79"/>
      <c r="P52" s="79"/>
      <c r="Q52" s="39"/>
    </row>
    <row r="53" spans="1:17" ht="45.75" customHeight="1" x14ac:dyDescent="0.25">
      <c r="A53" s="73" t="str">
        <f>+'2024'!A53</f>
        <v>1.2.1.6</v>
      </c>
      <c r="B53" s="73" t="str">
        <f>+'2024'!B53</f>
        <v>Realizar inventario  de usuarios del recurso hídrico para el registro y/o legalizacion en subzonas hidrográficas priorizadas</v>
      </c>
      <c r="C53" s="73" t="str">
        <f>+'2024'!C53</f>
        <v>Número</v>
      </c>
      <c r="D53" s="73" t="str">
        <f>+'2024'!D53</f>
        <v># de usuarios registrados</v>
      </c>
      <c r="E53" s="82">
        <v>1400</v>
      </c>
      <c r="F53" s="169">
        <f t="shared" si="12"/>
        <v>600000000</v>
      </c>
      <c r="G53" s="170"/>
      <c r="H53" s="171">
        <v>520000000</v>
      </c>
      <c r="I53" s="129">
        <v>80000000</v>
      </c>
      <c r="J53" s="129"/>
      <c r="K53" s="129"/>
      <c r="L53" s="129"/>
      <c r="M53" s="129"/>
      <c r="N53" s="129"/>
      <c r="O53" s="130"/>
      <c r="P53" s="130"/>
      <c r="Q53" s="39"/>
    </row>
    <row r="54" spans="1:17" ht="30" x14ac:dyDescent="0.25">
      <c r="A54" s="73" t="str">
        <f>+'2024'!A54</f>
        <v>1.2.1.7</v>
      </c>
      <c r="B54" s="73" t="str">
        <f>+'2024'!B54</f>
        <v xml:space="preserve">Diseñar herramientas de conservacción para la gestión y administración del recurso hídrico </v>
      </c>
      <c r="C54" s="73" t="str">
        <f>+'2024'!C54</f>
        <v>Número</v>
      </c>
      <c r="D54" s="73" t="str">
        <f>+'2024'!D54</f>
        <v># de herramientas diseñadas</v>
      </c>
      <c r="E54" s="81">
        <v>1</v>
      </c>
      <c r="F54" s="46">
        <f t="shared" si="12"/>
        <v>212000000</v>
      </c>
      <c r="G54" s="40"/>
      <c r="H54" s="101">
        <v>212000000</v>
      </c>
      <c r="I54" s="39"/>
      <c r="J54" s="39"/>
      <c r="K54" s="39"/>
      <c r="L54" s="39"/>
      <c r="M54" s="39"/>
      <c r="N54" s="39"/>
      <c r="O54" s="39"/>
      <c r="P54" s="103"/>
      <c r="Q54" s="39"/>
    </row>
    <row r="55" spans="1:17" ht="45.75" customHeight="1" x14ac:dyDescent="0.25">
      <c r="A55" s="73" t="str">
        <f>+'2024'!A55</f>
        <v>1.2.1.8</v>
      </c>
      <c r="B55" s="73" t="str">
        <f>+'2024'!B55</f>
        <v>Formular lineamientos para el desarrollo de turismo sostenible en áreas de la estructura ecológica principal</v>
      </c>
      <c r="C55" s="73" t="str">
        <f>+'2024'!C55</f>
        <v>Número</v>
      </c>
      <c r="D55" s="73" t="str">
        <f>+'2024'!D55</f>
        <v># de lineamientos formulados</v>
      </c>
      <c r="E55" s="81">
        <v>0</v>
      </c>
      <c r="F55" s="46">
        <f t="shared" si="12"/>
        <v>0</v>
      </c>
      <c r="G55" s="40"/>
      <c r="H55" s="101"/>
      <c r="I55" s="39"/>
      <c r="J55" s="39"/>
      <c r="K55" s="39"/>
      <c r="L55" s="39"/>
      <c r="M55" s="39"/>
      <c r="N55" s="39"/>
      <c r="O55" s="39"/>
      <c r="P55" s="103"/>
      <c r="Q55" s="39"/>
    </row>
    <row r="56" spans="1:17" s="89" customFormat="1" ht="36" customHeight="1" x14ac:dyDescent="0.25">
      <c r="A56" s="281" t="str">
        <f>+'2024'!A56</f>
        <v>PROYECTO 1.2.2</v>
      </c>
      <c r="B56" s="281" t="str">
        <f>+'2024'!B56</f>
        <v xml:space="preserve">Instrumentos de planificación, seguimiento y control ambiental del bioterritorio </v>
      </c>
      <c r="C56" s="283" t="str">
        <f>+'2024'!C56</f>
        <v>CODIGO DNP</v>
      </c>
      <c r="D56" s="281">
        <f>+'2024'!D56</f>
        <v>3205</v>
      </c>
      <c r="E56" s="105"/>
      <c r="F56" s="172">
        <f t="shared" si="12"/>
        <v>1552000000</v>
      </c>
      <c r="G56" s="106">
        <f t="shared" ref="G56:Q56" si="13">SUM(G58:G64)</f>
        <v>0</v>
      </c>
      <c r="H56" s="106">
        <f t="shared" si="13"/>
        <v>1102000000</v>
      </c>
      <c r="I56" s="106">
        <f t="shared" si="13"/>
        <v>450000000</v>
      </c>
      <c r="J56" s="106">
        <f t="shared" si="13"/>
        <v>0</v>
      </c>
      <c r="K56" s="106">
        <f t="shared" si="13"/>
        <v>0</v>
      </c>
      <c r="L56" s="106">
        <f t="shared" si="13"/>
        <v>0</v>
      </c>
      <c r="M56" s="106">
        <f t="shared" si="13"/>
        <v>0</v>
      </c>
      <c r="N56" s="106">
        <f t="shared" si="13"/>
        <v>0</v>
      </c>
      <c r="O56" s="106">
        <f t="shared" si="13"/>
        <v>0</v>
      </c>
      <c r="P56" s="106">
        <f t="shared" si="13"/>
        <v>0</v>
      </c>
      <c r="Q56" s="92">
        <f t="shared" si="13"/>
        <v>0</v>
      </c>
    </row>
    <row r="57" spans="1:17" s="158" customFormat="1" ht="30" x14ac:dyDescent="0.25">
      <c r="A57" s="155" t="str">
        <f>+'2024'!A57</f>
        <v>CODIGO</v>
      </c>
      <c r="B57" s="155" t="str">
        <f>+'2024'!B57</f>
        <v>ACCIONES 
(INFINITIVO)</v>
      </c>
      <c r="C57" s="155" t="str">
        <f>+'2024'!C57</f>
        <v>UNIDAD 
DE MEDIDA</v>
      </c>
      <c r="D57" s="155" t="str">
        <f>+'2024'!D57</f>
        <v>INDICADOR 
FÓRMULA</v>
      </c>
      <c r="E57" s="155" t="s">
        <v>395</v>
      </c>
      <c r="F57" s="157" t="s">
        <v>396</v>
      </c>
      <c r="G57" s="161"/>
      <c r="H57" s="163"/>
      <c r="I57" s="162"/>
      <c r="J57" s="162"/>
      <c r="K57" s="162"/>
      <c r="L57" s="162"/>
      <c r="M57" s="162"/>
      <c r="N57" s="162"/>
      <c r="O57" s="159"/>
      <c r="P57" s="159"/>
      <c r="Q57" s="160"/>
    </row>
    <row r="58" spans="1:17" ht="39.75" customHeight="1" x14ac:dyDescent="0.25">
      <c r="A58" s="73" t="str">
        <f>+'2024'!A58</f>
        <v>1.2.2.1</v>
      </c>
      <c r="B58" s="73" t="str">
        <f>+'2024'!B58</f>
        <v xml:space="preserve">Adoptar instrumentos de  planificación ambiental </v>
      </c>
      <c r="C58" s="73" t="str">
        <f>+'2024'!C58</f>
        <v>Número</v>
      </c>
      <c r="D58" s="73" t="str">
        <f>+'2024'!D58</f>
        <v># de planes adoptados</v>
      </c>
      <c r="E58" s="35">
        <v>3</v>
      </c>
      <c r="F58" s="46">
        <f t="shared" ref="F58:F67" si="14">SUM(G58:R58)</f>
        <v>0</v>
      </c>
      <c r="G58" s="80"/>
      <c r="H58" s="100"/>
      <c r="I58" s="78"/>
      <c r="J58" s="78"/>
      <c r="K58" s="78"/>
      <c r="L58" s="78"/>
      <c r="M58" s="78"/>
      <c r="N58" s="78"/>
      <c r="O58" s="79"/>
      <c r="P58" s="79"/>
      <c r="Q58" s="39"/>
    </row>
    <row r="59" spans="1:17" ht="42.75" customHeight="1" x14ac:dyDescent="0.25">
      <c r="A59" s="73" t="str">
        <f>+'2024'!A59</f>
        <v>1.2.2.2</v>
      </c>
      <c r="B59" s="73" t="str">
        <f>+'2024'!B59</f>
        <v xml:space="preserve">Formular o actualizar instrumentos de  planificación ambiental </v>
      </c>
      <c r="C59" s="73" t="str">
        <f>+'2024'!C59</f>
        <v>Número</v>
      </c>
      <c r="D59" s="73" t="str">
        <f>+'2024'!D59</f>
        <v># de planes formulados/actualizados</v>
      </c>
      <c r="E59" s="75">
        <v>6</v>
      </c>
      <c r="F59" s="46">
        <f t="shared" si="14"/>
        <v>900000000</v>
      </c>
      <c r="G59" s="80"/>
      <c r="H59" s="100">
        <v>520000000</v>
      </c>
      <c r="I59" s="78">
        <v>380000000</v>
      </c>
      <c r="J59" s="78"/>
      <c r="K59" s="78"/>
      <c r="L59" s="78"/>
      <c r="M59" s="78"/>
      <c r="N59" s="78"/>
      <c r="O59" s="79"/>
      <c r="P59" s="79"/>
      <c r="Q59" s="39"/>
    </row>
    <row r="60" spans="1:17" ht="45" x14ac:dyDescent="0.25">
      <c r="A60" s="73" t="str">
        <f>+'2024'!A60</f>
        <v>1.2.2.3</v>
      </c>
      <c r="B60" s="73" t="str">
        <f>+'2024'!B60</f>
        <v xml:space="preserve">Formular planes de acción de microcuencas abastecedoras de acueductos (ABACOS) </v>
      </c>
      <c r="C60" s="73" t="str">
        <f>+'2024'!C60</f>
        <v>Número</v>
      </c>
      <c r="D60" s="73" t="str">
        <f>+'2024'!D60</f>
        <v># planes de acción de microcuencas abastecedoras de acueductos (ABACOS) formulados</v>
      </c>
      <c r="E60" s="75">
        <v>7</v>
      </c>
      <c r="F60" s="46">
        <f t="shared" si="14"/>
        <v>70000000</v>
      </c>
      <c r="G60" s="80"/>
      <c r="H60" s="100"/>
      <c r="I60" s="78">
        <v>70000000</v>
      </c>
      <c r="J60" s="78"/>
      <c r="K60" s="78"/>
      <c r="L60" s="78"/>
      <c r="M60" s="78"/>
      <c r="N60" s="78"/>
      <c r="O60" s="79"/>
      <c r="P60" s="79"/>
      <c r="Q60" s="39"/>
    </row>
    <row r="61" spans="1:17" ht="66.75" customHeight="1" x14ac:dyDescent="0.25">
      <c r="A61" s="73" t="str">
        <f>+'2024'!A61</f>
        <v>1.2.2.4</v>
      </c>
      <c r="B61" s="73" t="str">
        <f>+'2024'!B61</f>
        <v>Evaluar la incorporación de las determinantes ambientales en el proceso de concertación ambiental de los instrumentos de ordenamiento territorial</v>
      </c>
      <c r="C61" s="73" t="str">
        <f>+'2024'!C61</f>
        <v>Porcentaje</v>
      </c>
      <c r="D61" s="73" t="str">
        <f>+'2024'!D61</f>
        <v>% de  Instrumentos de ordenamiento territorial evaluados</v>
      </c>
      <c r="E61" s="201">
        <v>100</v>
      </c>
      <c r="F61" s="46">
        <f t="shared" si="14"/>
        <v>142000000</v>
      </c>
      <c r="G61" s="80"/>
      <c r="H61" s="100">
        <v>142000000</v>
      </c>
      <c r="I61" s="78"/>
      <c r="J61" s="78"/>
      <c r="K61" s="78"/>
      <c r="L61" s="78"/>
      <c r="M61" s="78"/>
      <c r="N61" s="78"/>
      <c r="O61" s="79"/>
      <c r="P61" s="79"/>
      <c r="Q61" s="39"/>
    </row>
    <row r="62" spans="1:17" ht="48.75" customHeight="1" x14ac:dyDescent="0.25">
      <c r="A62" s="73" t="str">
        <f>+'2024'!A62</f>
        <v>1.2.2.5</v>
      </c>
      <c r="B62" s="73" t="str">
        <f>+'2024'!B62</f>
        <v>Apoyar a los entes territoriales en la   formulación y/o actualización de los Planes de Gestión Integral de Residuos Sólidos</v>
      </c>
      <c r="C62" s="73" t="str">
        <f>+'2024'!C62</f>
        <v>Número</v>
      </c>
      <c r="D62" s="73" t="str">
        <f>+'2024'!D62</f>
        <v># de entidades  territoriales apoyadas</v>
      </c>
      <c r="E62" s="201">
        <v>2</v>
      </c>
      <c r="F62" s="46">
        <f t="shared" si="14"/>
        <v>100000000</v>
      </c>
      <c r="G62" s="80"/>
      <c r="H62" s="100">
        <v>100000000</v>
      </c>
      <c r="I62" s="78"/>
      <c r="J62" s="78"/>
      <c r="K62" s="78"/>
      <c r="L62" s="78"/>
      <c r="M62" s="78"/>
      <c r="N62" s="78"/>
      <c r="O62" s="79"/>
      <c r="P62" s="79"/>
      <c r="Q62" s="39"/>
    </row>
    <row r="63" spans="1:17" ht="45" x14ac:dyDescent="0.25">
      <c r="A63" s="73" t="str">
        <f>+'2024'!A63</f>
        <v>1.2.2.6</v>
      </c>
      <c r="B63" s="73" t="str">
        <f>+'2024'!B63</f>
        <v>Seguimiento a la implementación de los instrumentos de planificación ambiental</v>
      </c>
      <c r="C63" s="73" t="str">
        <f>+'2024'!C63</f>
        <v>Número</v>
      </c>
      <c r="D63" s="73" t="str">
        <f>+'2024'!D63</f>
        <v># de instrumentos de planificación ambiental con seguimiento a la implementación</v>
      </c>
      <c r="E63" s="75">
        <v>19</v>
      </c>
      <c r="F63" s="46">
        <f t="shared" si="14"/>
        <v>140000000</v>
      </c>
      <c r="G63" s="80"/>
      <c r="H63" s="78">
        <v>140000000</v>
      </c>
      <c r="I63" s="78"/>
      <c r="J63" s="78"/>
      <c r="K63" s="78"/>
      <c r="L63" s="78"/>
      <c r="M63" s="78"/>
      <c r="N63" s="78"/>
      <c r="O63" s="79"/>
      <c r="P63" s="79"/>
      <c r="Q63" s="39"/>
    </row>
    <row r="64" spans="1:17" ht="42" customHeight="1" x14ac:dyDescent="0.25">
      <c r="A64" s="73" t="str">
        <f>+'2024'!A64</f>
        <v>1.2.2.7</v>
      </c>
      <c r="B64" s="73" t="str">
        <f>+'2024'!B64</f>
        <v xml:space="preserve">Formular e implementar el Programa Institucional Regional de Monitoreo del Agua - PIRMA </v>
      </c>
      <c r="C64" s="73" t="str">
        <f>+'2024'!C64</f>
        <v>Número</v>
      </c>
      <c r="D64" s="73" t="str">
        <f>+'2024'!D64</f>
        <v>Programa Institucional Regional de Monitoreo del Agua - PIRMA formulado e implementado</v>
      </c>
      <c r="E64" s="254">
        <v>1</v>
      </c>
      <c r="F64" s="46">
        <f t="shared" si="14"/>
        <v>200000000</v>
      </c>
      <c r="G64" s="80"/>
      <c r="H64" s="78">
        <v>200000000</v>
      </c>
      <c r="I64" s="78"/>
      <c r="J64" s="78"/>
      <c r="K64" s="78"/>
      <c r="L64" s="78"/>
      <c r="M64" s="78"/>
      <c r="N64" s="78"/>
      <c r="O64" s="79"/>
      <c r="P64" s="79"/>
      <c r="Q64" s="39"/>
    </row>
    <row r="65" spans="1:17" s="50" customFormat="1" ht="15" x14ac:dyDescent="0.25">
      <c r="A65" s="49" t="str">
        <f>+'2024'!A65</f>
        <v>PILAR 2</v>
      </c>
      <c r="B65" s="49" t="str">
        <f>+'2024'!B65</f>
        <v>BIODESARROLLO SOSTENIBLE</v>
      </c>
      <c r="C65" s="366">
        <f>+'2024'!C65</f>
        <v>0</v>
      </c>
      <c r="D65" s="366">
        <f>+'2024'!D65</f>
        <v>0</v>
      </c>
      <c r="E65" s="51"/>
      <c r="F65" s="115">
        <f t="shared" si="14"/>
        <v>6169142000</v>
      </c>
      <c r="G65" s="114">
        <f t="shared" ref="G65:Q65" si="15">+G66+G83</f>
        <v>0</v>
      </c>
      <c r="H65" s="114">
        <f t="shared" si="15"/>
        <v>3794142000</v>
      </c>
      <c r="I65" s="114">
        <f t="shared" si="15"/>
        <v>2375000000</v>
      </c>
      <c r="J65" s="114">
        <f t="shared" si="15"/>
        <v>0</v>
      </c>
      <c r="K65" s="114">
        <f t="shared" si="15"/>
        <v>0</v>
      </c>
      <c r="L65" s="114">
        <f t="shared" si="15"/>
        <v>0</v>
      </c>
      <c r="M65" s="114">
        <f t="shared" si="15"/>
        <v>0</v>
      </c>
      <c r="N65" s="114">
        <f t="shared" si="15"/>
        <v>0</v>
      </c>
      <c r="O65" s="114">
        <f t="shared" si="15"/>
        <v>0</v>
      </c>
      <c r="P65" s="114">
        <f t="shared" si="15"/>
        <v>0</v>
      </c>
      <c r="Q65" s="52">
        <f t="shared" si="15"/>
        <v>0</v>
      </c>
    </row>
    <row r="66" spans="1:17" s="55" customFormat="1" ht="32.1" customHeight="1" x14ac:dyDescent="0.25">
      <c r="A66" s="54" t="str">
        <f>+'2024'!A66</f>
        <v>PROGRAMA 2.1</v>
      </c>
      <c r="B66" s="54" t="str">
        <f>+'2024'!B66</f>
        <v>RIESGOS AMBIENTALES Y CAMBIO CLIMÁTICO</v>
      </c>
      <c r="C66" s="365"/>
      <c r="D66" s="365"/>
      <c r="E66" s="56"/>
      <c r="F66" s="109">
        <f t="shared" si="14"/>
        <v>4629142000</v>
      </c>
      <c r="G66" s="108">
        <f t="shared" ref="G66:Q66" si="16">+G67+G76</f>
        <v>0</v>
      </c>
      <c r="H66" s="108">
        <f t="shared" si="16"/>
        <v>2684142000</v>
      </c>
      <c r="I66" s="108">
        <f t="shared" si="16"/>
        <v>1945000000</v>
      </c>
      <c r="J66" s="108">
        <f t="shared" si="16"/>
        <v>0</v>
      </c>
      <c r="K66" s="108">
        <f t="shared" si="16"/>
        <v>0</v>
      </c>
      <c r="L66" s="108">
        <f t="shared" si="16"/>
        <v>0</v>
      </c>
      <c r="M66" s="108">
        <f t="shared" si="16"/>
        <v>0</v>
      </c>
      <c r="N66" s="108">
        <f t="shared" si="16"/>
        <v>0</v>
      </c>
      <c r="O66" s="108">
        <f t="shared" si="16"/>
        <v>0</v>
      </c>
      <c r="P66" s="108">
        <f t="shared" si="16"/>
        <v>0</v>
      </c>
      <c r="Q66" s="57">
        <f t="shared" si="16"/>
        <v>0</v>
      </c>
    </row>
    <row r="67" spans="1:17" s="62" customFormat="1" ht="20.25" customHeight="1" x14ac:dyDescent="0.25">
      <c r="A67" s="281" t="str">
        <f>+'2024'!A67</f>
        <v>PROYECTO 2.1.1</v>
      </c>
      <c r="B67" s="281" t="str">
        <f>+'2024'!B67</f>
        <v>Gestión de riesgos ambientales</v>
      </c>
      <c r="C67" s="283" t="str">
        <f>+'2024'!C67</f>
        <v>CÓDIGO DNP</v>
      </c>
      <c r="D67" s="281">
        <f>+'2024'!D67</f>
        <v>3205</v>
      </c>
      <c r="E67" s="63"/>
      <c r="F67" s="92">
        <f t="shared" si="14"/>
        <v>4149142000</v>
      </c>
      <c r="G67" s="116">
        <f t="shared" ref="G67:Q67" si="17">SUM(G69:G75)</f>
        <v>0</v>
      </c>
      <c r="H67" s="116">
        <f t="shared" si="17"/>
        <v>2354142000</v>
      </c>
      <c r="I67" s="116">
        <f t="shared" si="17"/>
        <v>1795000000</v>
      </c>
      <c r="J67" s="116">
        <f t="shared" si="17"/>
        <v>0</v>
      </c>
      <c r="K67" s="116">
        <f t="shared" si="17"/>
        <v>0</v>
      </c>
      <c r="L67" s="116">
        <f t="shared" si="17"/>
        <v>0</v>
      </c>
      <c r="M67" s="116">
        <f t="shared" si="17"/>
        <v>0</v>
      </c>
      <c r="N67" s="116">
        <f t="shared" si="17"/>
        <v>0</v>
      </c>
      <c r="O67" s="116">
        <f t="shared" si="17"/>
        <v>0</v>
      </c>
      <c r="P67" s="116">
        <f t="shared" si="17"/>
        <v>0</v>
      </c>
      <c r="Q67" s="64">
        <f t="shared" si="17"/>
        <v>0</v>
      </c>
    </row>
    <row r="68" spans="1:17" s="158" customFormat="1" ht="30" x14ac:dyDescent="0.25">
      <c r="A68" s="155" t="str">
        <f>+'2024'!A68</f>
        <v>CODIGO</v>
      </c>
      <c r="B68" s="155" t="str">
        <f>+'2024'!B68</f>
        <v>ACCIONES 
(INFINITIVO)</v>
      </c>
      <c r="C68" s="155" t="str">
        <f>+'2024'!C68</f>
        <v>UNIDAD 
DE MEDIDA</v>
      </c>
      <c r="D68" s="155" t="str">
        <f>+'2024'!D68</f>
        <v>INDICADOR 
FÓRMULA</v>
      </c>
      <c r="E68" s="156" t="s">
        <v>395</v>
      </c>
      <c r="F68" s="157" t="s">
        <v>396</v>
      </c>
      <c r="G68" s="161"/>
      <c r="H68" s="162"/>
      <c r="I68" s="162"/>
      <c r="J68" s="162"/>
      <c r="K68" s="162"/>
      <c r="L68" s="162"/>
      <c r="M68" s="162"/>
      <c r="N68" s="162"/>
      <c r="O68" s="159"/>
      <c r="P68" s="159"/>
      <c r="Q68" s="160"/>
    </row>
    <row r="69" spans="1:17" ht="62.25" customHeight="1" x14ac:dyDescent="0.25">
      <c r="A69" s="73" t="str">
        <f>+'2024'!A69</f>
        <v>2.1.1.1</v>
      </c>
      <c r="B69" s="73" t="str">
        <f>+'2024'!B69</f>
        <v xml:space="preserve">Implementar medidas estructurales (obras de ingeniería y Soluciones Basadas en la Naturaleza - SBN) para la reducción del riesgo de desastres </v>
      </c>
      <c r="C69" s="73" t="str">
        <f>+'2024'!C69</f>
        <v>Número</v>
      </c>
      <c r="D69" s="73" t="str">
        <f>+'2024'!D69</f>
        <v># de sitios intervenidos</v>
      </c>
      <c r="E69" s="100">
        <v>24</v>
      </c>
      <c r="F69" s="46">
        <f t="shared" ref="F69:F76" si="18">SUM(G69:R69)</f>
        <v>3200000000</v>
      </c>
      <c r="G69" s="117"/>
      <c r="H69" s="78">
        <v>1700000000</v>
      </c>
      <c r="I69" s="78">
        <v>1500000000</v>
      </c>
      <c r="J69" s="78"/>
      <c r="K69" s="78"/>
      <c r="L69" s="78"/>
      <c r="M69" s="78"/>
      <c r="N69" s="78"/>
      <c r="O69" s="79"/>
      <c r="P69" s="79"/>
      <c r="Q69" s="39"/>
    </row>
    <row r="70" spans="1:17" ht="48.75" customHeight="1" x14ac:dyDescent="0.25">
      <c r="A70" s="73" t="str">
        <f>+'2024'!A70</f>
        <v>2.1.1.2</v>
      </c>
      <c r="B70" s="73" t="str">
        <f>+'2024'!B70</f>
        <v>Desarrollar acciones comunitarias y sectoriales en torno a la gestión, conocimiento y reducción de riesgos ambientales en el territorio</v>
      </c>
      <c r="C70" s="73" t="str">
        <f>+'2024'!C70</f>
        <v>Número</v>
      </c>
      <c r="D70" s="73" t="str">
        <f>+'2024'!D70</f>
        <v xml:space="preserve"># de acciones realizadas en gestión del riesgo </v>
      </c>
      <c r="E70" s="78">
        <v>82</v>
      </c>
      <c r="F70" s="76">
        <f t="shared" si="18"/>
        <v>109142000</v>
      </c>
      <c r="G70" s="118"/>
      <c r="H70" s="78">
        <v>109142000</v>
      </c>
      <c r="I70" s="78"/>
      <c r="J70" s="78"/>
      <c r="K70" s="78"/>
      <c r="L70" s="78"/>
      <c r="M70" s="78"/>
      <c r="N70" s="78"/>
      <c r="O70" s="79"/>
      <c r="P70" s="79"/>
      <c r="Q70" s="39"/>
    </row>
    <row r="71" spans="1:17" ht="88.5" customHeight="1" x14ac:dyDescent="0.25">
      <c r="A71" s="73" t="str">
        <f>+'2024'!A71</f>
        <v>2.1.1.3</v>
      </c>
      <c r="B71" s="73" t="str">
        <f>+'2024'!B71</f>
        <v>Implementar medidas de manejo, remediación y recuperación ambiental desarrolladas en ecosistemas afectados por emergencias (considerando la guía de Evaluación de Daños Ambientales - EDANA)</v>
      </c>
      <c r="C71" s="73" t="str">
        <f>+'2024'!C71</f>
        <v>Número</v>
      </c>
      <c r="D71" s="73" t="str">
        <f>+'2024'!D71</f>
        <v># de sitios intervenidos</v>
      </c>
      <c r="E71" s="78">
        <v>2</v>
      </c>
      <c r="F71" s="76">
        <f t="shared" si="18"/>
        <v>200000000</v>
      </c>
      <c r="G71" s="118"/>
      <c r="H71" s="78">
        <v>100000000</v>
      </c>
      <c r="I71" s="78">
        <v>100000000</v>
      </c>
      <c r="J71" s="78"/>
      <c r="K71" s="78"/>
      <c r="L71" s="78"/>
      <c r="M71" s="78"/>
      <c r="N71" s="78"/>
      <c r="O71" s="79"/>
      <c r="P71" s="79"/>
      <c r="Q71" s="39"/>
    </row>
    <row r="72" spans="1:17" ht="51" customHeight="1" x14ac:dyDescent="0.25">
      <c r="A72" s="73" t="str">
        <f>+'2024'!A72</f>
        <v>2.1.1.4</v>
      </c>
      <c r="B72" s="73" t="str">
        <f>+'2024'!B72</f>
        <v>Generar y divulgar información y conocimiento sobre riesgos que afecten la oferta y disponibilidad del recurso hídrico, la calidad del aíre y ruido.</v>
      </c>
      <c r="C72" s="73" t="str">
        <f>+'2024'!C72</f>
        <v>Número</v>
      </c>
      <c r="D72" s="73" t="str">
        <f>+'2024'!D72</f>
        <v># de municipios informados</v>
      </c>
      <c r="E72" s="78">
        <v>27</v>
      </c>
      <c r="F72" s="46">
        <f t="shared" si="18"/>
        <v>90000000</v>
      </c>
      <c r="G72" s="119"/>
      <c r="H72" s="78">
        <v>90000000</v>
      </c>
      <c r="I72" s="78"/>
      <c r="J72" s="78"/>
      <c r="K72" s="78"/>
      <c r="L72" s="78"/>
      <c r="M72" s="78"/>
      <c r="N72" s="78"/>
      <c r="O72" s="79"/>
      <c r="P72" s="79"/>
      <c r="Q72" s="39"/>
    </row>
    <row r="73" spans="1:17" ht="112.5" customHeight="1" x14ac:dyDescent="0.25">
      <c r="A73" s="73" t="str">
        <f>+'2024'!A73</f>
        <v>2.1.1.5</v>
      </c>
      <c r="B73" s="73" t="str">
        <f>+'2024'!B73</f>
        <v xml:space="preserve">Implementar medidas para reducción del riesgo de la pérdida de biodiversidad y servicios ecosistemicos considerando los 5 motores de pérdida de biodiversidad: la deforestación; el cambio en el uso del suelo; la introducción de especies, la toxificación, eutrofización, desertificación; y el cambio climático. </v>
      </c>
      <c r="C73" s="73" t="str">
        <f>+'2024'!C73</f>
        <v>Número</v>
      </c>
      <c r="D73" s="73" t="str">
        <f>+'2024'!D73</f>
        <v># de medidas implementadas</v>
      </c>
      <c r="E73" s="78">
        <v>1</v>
      </c>
      <c r="F73" s="76">
        <f t="shared" si="18"/>
        <v>150000000</v>
      </c>
      <c r="G73" s="118"/>
      <c r="H73" s="78">
        <v>75000000</v>
      </c>
      <c r="I73" s="78">
        <v>75000000</v>
      </c>
      <c r="J73" s="78"/>
      <c r="K73" s="78"/>
      <c r="L73" s="78"/>
      <c r="M73" s="78"/>
      <c r="N73" s="78"/>
      <c r="O73" s="79"/>
      <c r="P73" s="79"/>
      <c r="Q73" s="39"/>
    </row>
    <row r="74" spans="1:17" ht="63.75" customHeight="1" x14ac:dyDescent="0.25">
      <c r="A74" s="73" t="str">
        <f>+'2024'!A74</f>
        <v>2.1.1.6</v>
      </c>
      <c r="B74" s="73" t="str">
        <f>+'2024'!B74</f>
        <v>Mantener las medidas de reducción del riesgo (Programa Guardianes)</v>
      </c>
      <c r="C74" s="73" t="str">
        <f>+'2024'!C74</f>
        <v>Número</v>
      </c>
      <c r="D74" s="73" t="str">
        <f>+'2024'!D74</f>
        <v># de programas implementados</v>
      </c>
      <c r="E74" s="78">
        <v>2</v>
      </c>
      <c r="F74" s="76">
        <f t="shared" si="18"/>
        <v>250000000</v>
      </c>
      <c r="G74" s="118"/>
      <c r="H74" s="78">
        <v>130000000</v>
      </c>
      <c r="I74" s="78">
        <v>120000000</v>
      </c>
      <c r="J74" s="78"/>
      <c r="K74" s="78"/>
      <c r="L74" s="78"/>
      <c r="M74" s="78"/>
      <c r="N74" s="78"/>
      <c r="O74" s="79"/>
      <c r="P74" s="79"/>
      <c r="Q74" s="39"/>
    </row>
    <row r="75" spans="1:17" ht="60" customHeight="1" x14ac:dyDescent="0.25">
      <c r="A75" s="73" t="str">
        <f>+'2024'!A75</f>
        <v>2.1.1.7</v>
      </c>
      <c r="B75" s="73" t="str">
        <f>+'2024'!B75</f>
        <v>Desarrollar estudios y diseños para el conocimiento de los diferentes riesgos ambientales del Departamento</v>
      </c>
      <c r="C75" s="73" t="str">
        <f>+'2024'!C75</f>
        <v>Número</v>
      </c>
      <c r="D75" s="73" t="str">
        <f>+'2024'!D75</f>
        <v># de proyectos realizados</v>
      </c>
      <c r="E75" s="78">
        <v>1</v>
      </c>
      <c r="F75" s="46">
        <f t="shared" si="18"/>
        <v>150000000</v>
      </c>
      <c r="G75" s="119"/>
      <c r="H75" s="78">
        <v>150000000</v>
      </c>
      <c r="I75" s="78"/>
      <c r="J75" s="78"/>
      <c r="K75" s="78"/>
      <c r="L75" s="78"/>
      <c r="M75" s="78"/>
      <c r="N75" s="78"/>
      <c r="O75" s="79"/>
      <c r="P75" s="79"/>
      <c r="Q75" s="39"/>
    </row>
    <row r="76" spans="1:17" s="62" customFormat="1" ht="30" customHeight="1" x14ac:dyDescent="0.25">
      <c r="A76" s="281" t="str">
        <f>+'2024'!A76</f>
        <v>PROYECTO 2.1.2</v>
      </c>
      <c r="B76" s="281" t="str">
        <f>+'2024'!B76</f>
        <v xml:space="preserve">Gestión para la adaptación y mitigación al cambio climático </v>
      </c>
      <c r="C76" s="283" t="str">
        <f>+'2024'!C76</f>
        <v>CÓDIGO DNP</v>
      </c>
      <c r="D76" s="281">
        <f>+'2024'!D76</f>
        <v>3206</v>
      </c>
      <c r="E76" s="63"/>
      <c r="F76" s="92">
        <f t="shared" si="18"/>
        <v>480000000</v>
      </c>
      <c r="G76" s="116">
        <f t="shared" ref="G76:Q76" si="19">SUM(G78:G82)</f>
        <v>0</v>
      </c>
      <c r="H76" s="116">
        <f t="shared" si="19"/>
        <v>330000000</v>
      </c>
      <c r="I76" s="116">
        <f t="shared" si="19"/>
        <v>150000000</v>
      </c>
      <c r="J76" s="116">
        <f t="shared" si="19"/>
        <v>0</v>
      </c>
      <c r="K76" s="116">
        <f t="shared" si="19"/>
        <v>0</v>
      </c>
      <c r="L76" s="116">
        <f t="shared" si="19"/>
        <v>0</v>
      </c>
      <c r="M76" s="116">
        <f t="shared" si="19"/>
        <v>0</v>
      </c>
      <c r="N76" s="116">
        <f t="shared" si="19"/>
        <v>0</v>
      </c>
      <c r="O76" s="116">
        <f t="shared" si="19"/>
        <v>0</v>
      </c>
      <c r="P76" s="116">
        <f t="shared" si="19"/>
        <v>0</v>
      </c>
      <c r="Q76" s="64">
        <f t="shared" si="19"/>
        <v>0</v>
      </c>
    </row>
    <row r="77" spans="1:17" s="158" customFormat="1" ht="30" x14ac:dyDescent="0.25">
      <c r="A77" s="155" t="str">
        <f>+'2024'!A77</f>
        <v>CODIGO</v>
      </c>
      <c r="B77" s="155" t="str">
        <f>+'2024'!B77</f>
        <v>ACCIONES 
(INFINITIVO)</v>
      </c>
      <c r="C77" s="155" t="str">
        <f>+'2024'!C77</f>
        <v>UNIDAD 
DE MEDIDA</v>
      </c>
      <c r="D77" s="155" t="str">
        <f>+'2024'!D77</f>
        <v>INDICADOR 
FÓRMULA</v>
      </c>
      <c r="E77" s="155" t="s">
        <v>395</v>
      </c>
      <c r="F77" s="157" t="s">
        <v>396</v>
      </c>
      <c r="G77" s="161"/>
      <c r="H77" s="163"/>
      <c r="I77" s="162"/>
      <c r="J77" s="162"/>
      <c r="K77" s="162"/>
      <c r="L77" s="162"/>
      <c r="M77" s="162"/>
      <c r="N77" s="162"/>
      <c r="O77" s="159"/>
      <c r="P77" s="159"/>
      <c r="Q77" s="160"/>
    </row>
    <row r="78" spans="1:17" ht="34.5" customHeight="1" x14ac:dyDescent="0.25">
      <c r="A78" s="73" t="str">
        <f>+'2024'!A78</f>
        <v>2.1.2.1</v>
      </c>
      <c r="B78" s="73" t="str">
        <f>+'2024'!B78</f>
        <v xml:space="preserve">Impulsar a los sectores a la medición de huella de carbono </v>
      </c>
      <c r="C78" s="73" t="str">
        <f>+'2024'!C78</f>
        <v>Número</v>
      </c>
      <c r="D78" s="73" t="str">
        <f>+'2024'!D78</f>
        <v># de Empresas que miden huella de carbono/año</v>
      </c>
      <c r="E78" s="75">
        <v>5</v>
      </c>
      <c r="F78" s="46">
        <f t="shared" ref="F78:F84" si="20">SUM(G78:R78)</f>
        <v>50000000</v>
      </c>
      <c r="G78" s="80"/>
      <c r="H78" s="78">
        <v>50000000</v>
      </c>
      <c r="I78" s="78"/>
      <c r="J78" s="78"/>
      <c r="K78" s="78"/>
      <c r="L78" s="78"/>
      <c r="M78" s="78"/>
      <c r="N78" s="78"/>
      <c r="O78" s="79"/>
      <c r="P78" s="79"/>
      <c r="Q78" s="39"/>
    </row>
    <row r="79" spans="1:17" ht="36" customHeight="1" x14ac:dyDescent="0.25">
      <c r="A79" s="73" t="str">
        <f>+'2024'!A79</f>
        <v>2.1.2.2</v>
      </c>
      <c r="B79" s="73" t="str">
        <f>+'2024'!B79</f>
        <v>Realizar acciones de reducción de Gases Efecto Invernadero - GEI en el sector ambiente</v>
      </c>
      <c r="C79" s="73" t="str">
        <f>+'2024'!C79</f>
        <v>Ton de CO2</v>
      </c>
      <c r="D79" s="73" t="str">
        <f>+'2024'!D79</f>
        <v>Ton CO2/año</v>
      </c>
      <c r="E79" s="6">
        <v>250</v>
      </c>
      <c r="F79" s="46">
        <f t="shared" si="20"/>
        <v>50000000</v>
      </c>
      <c r="G79" s="80"/>
      <c r="H79" s="78">
        <v>50000000</v>
      </c>
      <c r="I79" s="78"/>
      <c r="J79" s="78"/>
      <c r="K79" s="78"/>
      <c r="L79" s="78"/>
      <c r="M79" s="78"/>
      <c r="N79" s="78"/>
      <c r="O79" s="79"/>
      <c r="P79" s="79"/>
      <c r="Q79" s="39"/>
    </row>
    <row r="80" spans="1:17" s="107" customFormat="1" ht="42" customHeight="1" x14ac:dyDescent="0.25">
      <c r="A80" s="73" t="str">
        <f>+'2024'!A80</f>
        <v>2.1.2.3</v>
      </c>
      <c r="B80" s="73" t="str">
        <f>+'2024'!B80</f>
        <v>Implementar proyectos de forestería comunitaria con bonos de carbono</v>
      </c>
      <c r="C80" s="73" t="str">
        <f>+'2024'!C80</f>
        <v>Número</v>
      </c>
      <c r="D80" s="73" t="str">
        <f>+'2024'!D80</f>
        <v># de proyecto de forestería comunitaria</v>
      </c>
      <c r="E80" s="165">
        <v>1</v>
      </c>
      <c r="F80" s="121">
        <f t="shared" si="20"/>
        <v>120000000</v>
      </c>
      <c r="G80" s="120"/>
      <c r="H80" s="122">
        <v>70000000</v>
      </c>
      <c r="I80" s="122">
        <v>50000000</v>
      </c>
      <c r="J80" s="122"/>
      <c r="K80" s="122"/>
      <c r="L80" s="122"/>
      <c r="M80" s="122"/>
      <c r="N80" s="122"/>
      <c r="O80" s="123"/>
      <c r="P80" s="123"/>
      <c r="Q80" s="124"/>
    </row>
    <row r="81" spans="1:41" ht="60.75" customHeight="1" x14ac:dyDescent="0.25">
      <c r="A81" s="73" t="str">
        <f>+'2024'!A81</f>
        <v>2.1.2.4</v>
      </c>
      <c r="B81" s="73" t="str">
        <f>+'2024'!B81</f>
        <v>Implementar acciones climáticas asociadas al PIGCC en los municipios del departamento de Caldas</v>
      </c>
      <c r="C81" s="73" t="str">
        <f>+'2024'!C81</f>
        <v>Número</v>
      </c>
      <c r="D81" s="73" t="str">
        <f>+'2024'!D81</f>
        <v xml:space="preserve"># de acciones realizadas por Corpocaldas en el marco del PIGCC </v>
      </c>
      <c r="E81" s="75">
        <v>2</v>
      </c>
      <c r="F81" s="46">
        <f t="shared" si="20"/>
        <v>200000000</v>
      </c>
      <c r="G81" s="80"/>
      <c r="H81" s="78">
        <v>100000000</v>
      </c>
      <c r="I81" s="78">
        <v>100000000</v>
      </c>
      <c r="J81" s="78"/>
      <c r="K81" s="78"/>
      <c r="L81" s="78"/>
      <c r="M81" s="78"/>
      <c r="N81" s="78"/>
      <c r="O81" s="79"/>
      <c r="P81" s="79"/>
      <c r="Q81" s="39"/>
    </row>
    <row r="82" spans="1:41" ht="63" customHeight="1" x14ac:dyDescent="0.25">
      <c r="A82" s="73" t="str">
        <f>+'2024'!A82</f>
        <v>2.1.2.5</v>
      </c>
      <c r="B82" s="73" t="str">
        <f>+'2024'!B82</f>
        <v>Realizar analisis de los efectos de la variabilidad y el cambio climático en el departamento, generando insumos para la toma de decisiones</v>
      </c>
      <c r="C82" s="73" t="str">
        <f>+'2024'!C82</f>
        <v>Número</v>
      </c>
      <c r="D82" s="73" t="str">
        <f>+'2024'!D82</f>
        <v># de analisis sobre los efectos de la variabilidad y el cambio climático en el departamento</v>
      </c>
      <c r="E82" s="75">
        <v>1</v>
      </c>
      <c r="F82" s="46">
        <f t="shared" si="20"/>
        <v>60000000</v>
      </c>
      <c r="G82" s="80"/>
      <c r="H82" s="78">
        <v>60000000</v>
      </c>
      <c r="I82" s="78"/>
      <c r="J82" s="78"/>
      <c r="K82" s="78"/>
      <c r="L82" s="78"/>
      <c r="M82" s="78"/>
      <c r="N82" s="78"/>
      <c r="O82" s="79"/>
      <c r="P82" s="79"/>
      <c r="Q82" s="39"/>
    </row>
    <row r="83" spans="1:41" s="55" customFormat="1" ht="32.1" customHeight="1" x14ac:dyDescent="0.25">
      <c r="A83" s="54" t="str">
        <f>+'2024'!A83</f>
        <v>PROGRAMA 2.2</v>
      </c>
      <c r="B83" s="54" t="str">
        <f>+'2024'!B83</f>
        <v>RESPONSABILIDAD AMBIENTAL SECTORIAL</v>
      </c>
      <c r="C83" s="365"/>
      <c r="D83" s="365"/>
      <c r="E83" s="56"/>
      <c r="F83" s="109">
        <f t="shared" si="20"/>
        <v>1540000000</v>
      </c>
      <c r="G83" s="108">
        <f t="shared" ref="G83:Q83" si="21">+G84+G91</f>
        <v>0</v>
      </c>
      <c r="H83" s="108">
        <f t="shared" si="21"/>
        <v>1110000000</v>
      </c>
      <c r="I83" s="108">
        <f t="shared" si="21"/>
        <v>430000000</v>
      </c>
      <c r="J83" s="108">
        <f t="shared" si="21"/>
        <v>0</v>
      </c>
      <c r="K83" s="108">
        <f t="shared" si="21"/>
        <v>0</v>
      </c>
      <c r="L83" s="108">
        <f t="shared" si="21"/>
        <v>0</v>
      </c>
      <c r="M83" s="108">
        <f t="shared" si="21"/>
        <v>0</v>
      </c>
      <c r="N83" s="108">
        <f t="shared" si="21"/>
        <v>0</v>
      </c>
      <c r="O83" s="108">
        <f t="shared" si="21"/>
        <v>0</v>
      </c>
      <c r="P83" s="108">
        <f t="shared" si="21"/>
        <v>0</v>
      </c>
      <c r="Q83" s="57">
        <f t="shared" si="21"/>
        <v>0</v>
      </c>
    </row>
    <row r="84" spans="1:41" s="62" customFormat="1" ht="15" x14ac:dyDescent="0.25">
      <c r="A84" s="281" t="str">
        <f>+'2024'!A84</f>
        <v>PROYECTO 2.2.1</v>
      </c>
      <c r="B84" s="281" t="str">
        <f>+'2024'!B84</f>
        <v xml:space="preserve">Bioeconomía y sostenibilidad </v>
      </c>
      <c r="C84" s="283" t="str">
        <f>+'2024'!C84</f>
        <v>CÓDIGO DNP</v>
      </c>
      <c r="D84" s="281">
        <f>+'2024'!D84</f>
        <v>3201</v>
      </c>
      <c r="E84" s="63"/>
      <c r="F84" s="92">
        <f t="shared" si="20"/>
        <v>940000000</v>
      </c>
      <c r="G84" s="116">
        <f>SUM(G86:G89)</f>
        <v>0</v>
      </c>
      <c r="H84" s="116">
        <f>SUM(H86:H90)</f>
        <v>710000000</v>
      </c>
      <c r="I84" s="116">
        <f t="shared" ref="I84:Q84" si="22">SUM(I86:I90)</f>
        <v>230000000</v>
      </c>
      <c r="J84" s="116">
        <f t="shared" si="22"/>
        <v>0</v>
      </c>
      <c r="K84" s="116">
        <f t="shared" si="22"/>
        <v>0</v>
      </c>
      <c r="L84" s="116">
        <f t="shared" si="22"/>
        <v>0</v>
      </c>
      <c r="M84" s="116">
        <f t="shared" si="22"/>
        <v>0</v>
      </c>
      <c r="N84" s="116">
        <f t="shared" si="22"/>
        <v>0</v>
      </c>
      <c r="O84" s="116">
        <f t="shared" si="22"/>
        <v>0</v>
      </c>
      <c r="P84" s="116">
        <f t="shared" si="22"/>
        <v>0</v>
      </c>
      <c r="Q84" s="116">
        <f t="shared" si="22"/>
        <v>0</v>
      </c>
    </row>
    <row r="85" spans="1:41" s="158" customFormat="1" ht="30" x14ac:dyDescent="0.25">
      <c r="A85" s="155" t="str">
        <f>+'2024'!A85</f>
        <v>CODIGO</v>
      </c>
      <c r="B85" s="155" t="str">
        <f>+'2024'!B85</f>
        <v>ACCIONES 
(INFINITIVO)</v>
      </c>
      <c r="C85" s="155" t="str">
        <f>+'2024'!C85</f>
        <v>UNIDAD 
DE MEDIDA</v>
      </c>
      <c r="D85" s="155" t="str">
        <f>+'2024'!D85</f>
        <v>INDICADOR 
FÓRMULA</v>
      </c>
      <c r="E85" s="155" t="s">
        <v>395</v>
      </c>
      <c r="F85" s="157" t="s">
        <v>396</v>
      </c>
      <c r="G85" s="161"/>
      <c r="H85" s="163"/>
      <c r="I85" s="162"/>
      <c r="J85" s="162"/>
      <c r="K85" s="162"/>
      <c r="L85" s="162"/>
      <c r="M85" s="162"/>
      <c r="N85" s="162"/>
      <c r="O85" s="159"/>
      <c r="P85" s="159"/>
      <c r="Q85" s="160"/>
    </row>
    <row r="86" spans="1:41" ht="57.75" customHeight="1" x14ac:dyDescent="0.25">
      <c r="A86" s="73" t="str">
        <f>+'2024'!A86</f>
        <v>2.2.1.1</v>
      </c>
      <c r="B86" s="73" t="str">
        <f>+'2024'!B86</f>
        <v>Asistir técnicamente a los negocios verdes para su consolidación incluye verificación y asesoría</v>
      </c>
      <c r="C86" s="73" t="str">
        <f>+'2024'!C86</f>
        <v>Número</v>
      </c>
      <c r="D86" s="73" t="str">
        <f>+'2024'!D86</f>
        <v># de negocios verdes establecidos</v>
      </c>
      <c r="E86" s="75">
        <v>21</v>
      </c>
      <c r="F86" s="46">
        <f t="shared" ref="F86:F91" si="23">SUM(G86:R86)</f>
        <v>220000000</v>
      </c>
      <c r="G86" s="117"/>
      <c r="H86" s="78">
        <v>140000000</v>
      </c>
      <c r="I86" s="78">
        <v>80000000</v>
      </c>
      <c r="J86" s="78"/>
      <c r="K86" s="78"/>
      <c r="L86" s="78"/>
      <c r="M86" s="78"/>
      <c r="N86" s="78"/>
      <c r="O86" s="79"/>
      <c r="P86" s="79"/>
      <c r="Q86" s="39"/>
    </row>
    <row r="87" spans="1:41" ht="54" customHeight="1" x14ac:dyDescent="0.25">
      <c r="A87" s="73" t="str">
        <f>+'2024'!A87</f>
        <v>2.2.1.2</v>
      </c>
      <c r="B87" s="73" t="str">
        <f>+'2024'!B87</f>
        <v>Adelantar proyectos de Investigación Desarrollo e Innovación I+D+I en asuntos ambientales sectoriales</v>
      </c>
      <c r="C87" s="73" t="str">
        <f>+'2024'!C87</f>
        <v>Número</v>
      </c>
      <c r="D87" s="73" t="str">
        <f>+'2024'!D87</f>
        <v xml:space="preserve"># de proyectos de I+D+I </v>
      </c>
      <c r="E87" s="125">
        <v>1</v>
      </c>
      <c r="F87" s="46">
        <f t="shared" si="23"/>
        <v>150000000</v>
      </c>
      <c r="G87" s="119"/>
      <c r="H87" s="78">
        <v>100000000</v>
      </c>
      <c r="I87" s="78">
        <v>50000000</v>
      </c>
      <c r="J87" s="78"/>
      <c r="K87" s="78"/>
      <c r="L87" s="78"/>
      <c r="M87" s="78"/>
      <c r="N87" s="78"/>
      <c r="O87" s="79"/>
      <c r="P87" s="79"/>
      <c r="Q87" s="39"/>
    </row>
    <row r="88" spans="1:41" ht="43.5" customHeight="1" x14ac:dyDescent="0.25">
      <c r="A88" s="73" t="str">
        <f>+'2024'!A88</f>
        <v>2.2.1.3</v>
      </c>
      <c r="B88" s="73" t="str">
        <f>+'2024'!B88</f>
        <v xml:space="preserve">Apoyar la implementación de proyectos en el marco de los PGIRS </v>
      </c>
      <c r="C88" s="73" t="str">
        <f>+'2024'!C88</f>
        <v>Número</v>
      </c>
      <c r="D88" s="73" t="str">
        <f>+'2024'!D88</f>
        <v># de municipios acompañados</v>
      </c>
      <c r="E88" s="125">
        <v>2</v>
      </c>
      <c r="F88" s="46">
        <f t="shared" si="23"/>
        <v>180000000</v>
      </c>
      <c r="G88" s="119"/>
      <c r="H88" s="129">
        <v>180000000</v>
      </c>
      <c r="I88" s="129"/>
      <c r="J88" s="129"/>
      <c r="K88" s="129"/>
      <c r="L88" s="129"/>
      <c r="M88" s="129"/>
      <c r="N88" s="129"/>
      <c r="O88" s="130"/>
      <c r="P88" s="130"/>
      <c r="Q88" s="154"/>
    </row>
    <row r="89" spans="1:41" ht="51.75" customHeight="1" x14ac:dyDescent="0.25">
      <c r="A89" s="73" t="str">
        <f>+'2024'!A89</f>
        <v>2.2.1.4</v>
      </c>
      <c r="B89" s="73" t="str">
        <f>+'2024'!B89</f>
        <v xml:space="preserve">Actualizar e implementar acciones de las agendas ambientales sectoriales </v>
      </c>
      <c r="C89" s="73" t="str">
        <f>+'2024'!C89</f>
        <v>Número</v>
      </c>
      <c r="D89" s="73" t="str">
        <f>+'2024'!D89</f>
        <v># de agendas gestionadas</v>
      </c>
      <c r="E89" s="125">
        <v>8</v>
      </c>
      <c r="F89" s="46">
        <f t="shared" si="23"/>
        <v>340000000</v>
      </c>
      <c r="G89" s="126"/>
      <c r="H89" s="39">
        <v>240000000</v>
      </c>
      <c r="I89" s="39">
        <v>100000000</v>
      </c>
      <c r="J89" s="39"/>
      <c r="K89" s="39"/>
      <c r="L89" s="39"/>
      <c r="M89" s="39"/>
      <c r="N89" s="39"/>
      <c r="O89" s="39"/>
      <c r="P89" s="39"/>
      <c r="Q89" s="39"/>
    </row>
    <row r="90" spans="1:41" ht="51.75" customHeight="1" x14ac:dyDescent="0.25">
      <c r="A90" s="73" t="str">
        <f>+'2024'!A90</f>
        <v>2.2.1.5</v>
      </c>
      <c r="B90" s="73" t="str">
        <f>+'2024'!B90</f>
        <v>Apoyar la implementacion del Plan de Gestión Integral de Residuos Peligrosos - RESPEL</v>
      </c>
      <c r="C90" s="73" t="str">
        <f>+'2024'!C90</f>
        <v>Número</v>
      </c>
      <c r="D90" s="73" t="str">
        <f>+'2024'!D90</f>
        <v xml:space="preserve"># de acciones apoyadas </v>
      </c>
      <c r="E90" s="285">
        <v>1</v>
      </c>
      <c r="F90" s="46">
        <f t="shared" si="23"/>
        <v>50000000</v>
      </c>
      <c r="G90" s="126"/>
      <c r="H90" s="35">
        <v>50000000</v>
      </c>
      <c r="Q90" s="265"/>
    </row>
    <row r="91" spans="1:41" s="62" customFormat="1" ht="15" x14ac:dyDescent="0.25">
      <c r="A91" s="281" t="str">
        <f>+'2024'!A91</f>
        <v>PROYECTO 2.2.2</v>
      </c>
      <c r="B91" s="281" t="str">
        <f>+'2024'!B91</f>
        <v>Convergencia e integración ambiental regional</v>
      </c>
      <c r="C91" s="283" t="str">
        <f>+'2024'!C91</f>
        <v>CÓDIGO DNP</v>
      </c>
      <c r="D91" s="281">
        <f>+'2024'!D91</f>
        <v>3201</v>
      </c>
      <c r="E91" s="63"/>
      <c r="F91" s="92">
        <f t="shared" si="23"/>
        <v>600000000</v>
      </c>
      <c r="G91" s="116">
        <f>SUM(G93:G95)</f>
        <v>0</v>
      </c>
      <c r="H91" s="116">
        <f t="shared" ref="H91:AO91" si="24">SUM(H93:H95)</f>
        <v>400000000</v>
      </c>
      <c r="I91" s="116">
        <f t="shared" si="24"/>
        <v>200000000</v>
      </c>
      <c r="J91" s="116">
        <f t="shared" si="24"/>
        <v>0</v>
      </c>
      <c r="K91" s="116">
        <f t="shared" si="24"/>
        <v>0</v>
      </c>
      <c r="L91" s="116">
        <f t="shared" si="24"/>
        <v>0</v>
      </c>
      <c r="M91" s="116">
        <f t="shared" si="24"/>
        <v>0</v>
      </c>
      <c r="N91" s="116">
        <f t="shared" si="24"/>
        <v>0</v>
      </c>
      <c r="O91" s="116">
        <f t="shared" si="24"/>
        <v>0</v>
      </c>
      <c r="P91" s="116">
        <f t="shared" si="24"/>
        <v>0</v>
      </c>
      <c r="Q91" s="255">
        <f t="shared" si="24"/>
        <v>0</v>
      </c>
      <c r="R91" s="116">
        <f t="shared" si="24"/>
        <v>0</v>
      </c>
      <c r="S91" s="116">
        <f t="shared" si="24"/>
        <v>0</v>
      </c>
      <c r="T91" s="116">
        <f t="shared" si="24"/>
        <v>0</v>
      </c>
      <c r="U91" s="116">
        <f t="shared" si="24"/>
        <v>0</v>
      </c>
      <c r="V91" s="116">
        <f t="shared" si="24"/>
        <v>0</v>
      </c>
      <c r="W91" s="116">
        <f t="shared" si="24"/>
        <v>0</v>
      </c>
      <c r="X91" s="116">
        <f t="shared" si="24"/>
        <v>0</v>
      </c>
      <c r="Y91" s="116">
        <f t="shared" si="24"/>
        <v>0</v>
      </c>
      <c r="Z91" s="116">
        <f t="shared" si="24"/>
        <v>0</v>
      </c>
      <c r="AA91" s="116">
        <f t="shared" si="24"/>
        <v>0</v>
      </c>
      <c r="AB91" s="116">
        <f t="shared" si="24"/>
        <v>0</v>
      </c>
      <c r="AC91" s="116">
        <f t="shared" si="24"/>
        <v>0</v>
      </c>
      <c r="AD91" s="116">
        <f t="shared" si="24"/>
        <v>0</v>
      </c>
      <c r="AE91" s="116">
        <f t="shared" si="24"/>
        <v>0</v>
      </c>
      <c r="AF91" s="116">
        <f t="shared" si="24"/>
        <v>0</v>
      </c>
      <c r="AG91" s="116">
        <f t="shared" si="24"/>
        <v>0</v>
      </c>
      <c r="AH91" s="116">
        <f t="shared" si="24"/>
        <v>0</v>
      </c>
      <c r="AI91" s="116">
        <f t="shared" si="24"/>
        <v>0</v>
      </c>
      <c r="AJ91" s="116">
        <f t="shared" si="24"/>
        <v>0</v>
      </c>
      <c r="AK91" s="116">
        <f t="shared" si="24"/>
        <v>0</v>
      </c>
      <c r="AL91" s="116">
        <f t="shared" si="24"/>
        <v>0</v>
      </c>
      <c r="AM91" s="116">
        <f t="shared" si="24"/>
        <v>0</v>
      </c>
      <c r="AN91" s="116">
        <f t="shared" si="24"/>
        <v>0</v>
      </c>
      <c r="AO91" s="116">
        <f t="shared" si="24"/>
        <v>0</v>
      </c>
    </row>
    <row r="92" spans="1:41" s="158" customFormat="1" ht="30" x14ac:dyDescent="0.25">
      <c r="A92" s="155" t="str">
        <f>+'2024'!A92</f>
        <v>CODIGO</v>
      </c>
      <c r="B92" s="155" t="str">
        <f>+'2024'!B92</f>
        <v>ACCIONES 
(INFINITIVO)</v>
      </c>
      <c r="C92" s="155" t="str">
        <f>+'2024'!C92</f>
        <v>UNIDAD 
DE MEDIDA</v>
      </c>
      <c r="D92" s="155" t="str">
        <f>+'2024'!D92</f>
        <v>INDICADOR 
FÓRMULA</v>
      </c>
      <c r="E92" s="155" t="s">
        <v>395</v>
      </c>
      <c r="F92" s="157" t="s">
        <v>396</v>
      </c>
      <c r="G92" s="161"/>
      <c r="H92" s="163"/>
      <c r="I92" s="162"/>
      <c r="J92" s="162"/>
      <c r="K92" s="162"/>
      <c r="L92" s="162"/>
      <c r="M92" s="162"/>
      <c r="N92" s="162"/>
      <c r="O92" s="159"/>
      <c r="P92" s="159"/>
      <c r="Q92" s="160"/>
    </row>
    <row r="93" spans="1:41" ht="57" customHeight="1" x14ac:dyDescent="0.25">
      <c r="A93" s="73" t="str">
        <f>+'2024'!A93</f>
        <v>2.2.2.1</v>
      </c>
      <c r="B93" s="73" t="str">
        <f>+'2024'!B93</f>
        <v xml:space="preserve">Apoyar la gestión del Programa de sostenibilidad del Paisaje Cultural Cafetero PCCC </v>
      </c>
      <c r="C93" s="73" t="str">
        <f>+'2024'!C93</f>
        <v>Número</v>
      </c>
      <c r="D93" s="73" t="str">
        <f>+'2024'!D93</f>
        <v># de acciones apoyadas</v>
      </c>
      <c r="E93" s="125">
        <v>1</v>
      </c>
      <c r="F93" s="46">
        <f>SUM(G93:R93)</f>
        <v>100000000</v>
      </c>
      <c r="G93" s="119"/>
      <c r="H93" s="78">
        <v>100000000</v>
      </c>
      <c r="I93" s="78"/>
      <c r="J93" s="78"/>
      <c r="K93" s="78"/>
      <c r="L93" s="78"/>
      <c r="M93" s="78"/>
      <c r="N93" s="78"/>
      <c r="O93" s="79"/>
      <c r="P93" s="79"/>
      <c r="Q93" s="39"/>
    </row>
    <row r="94" spans="1:41" ht="37.5" customHeight="1" x14ac:dyDescent="0.25">
      <c r="A94" s="73" t="str">
        <f>+'2024'!A94</f>
        <v>2.2.2.2</v>
      </c>
      <c r="B94" s="73" t="str">
        <f>+'2024'!B94</f>
        <v xml:space="preserve">Apoyar la Gestion de Plataformas colaborativas </v>
      </c>
      <c r="C94" s="73" t="str">
        <f>+'2024'!C94</f>
        <v>Número</v>
      </c>
      <c r="D94" s="73" t="str">
        <f>+'2024'!D94</f>
        <v># de Plataformas apoyadas</v>
      </c>
      <c r="E94" s="131">
        <v>4</v>
      </c>
      <c r="F94" s="46">
        <f>SUM(H94:AO94)</f>
        <v>500000000</v>
      </c>
      <c r="G94" s="132"/>
      <c r="H94" s="39">
        <v>300000000</v>
      </c>
      <c r="I94" s="39">
        <v>200000000</v>
      </c>
      <c r="J94" s="39"/>
      <c r="K94" s="39"/>
      <c r="L94" s="39"/>
      <c r="M94" s="39"/>
      <c r="N94" s="39"/>
      <c r="O94" s="39"/>
      <c r="P94" s="103"/>
      <c r="Q94" s="39"/>
      <c r="R94" s="10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</row>
    <row r="95" spans="1:41" ht="56.25" customHeight="1" x14ac:dyDescent="0.25">
      <c r="A95" s="73" t="str">
        <f>+'2024'!A95</f>
        <v>2.2.2.3</v>
      </c>
      <c r="B95" s="73" t="str">
        <f>+'2024'!B95</f>
        <v>Diseñar e implementar agenda de colaboración con instituciones de Educacion Superior y Centros/Institutos de Investigación</v>
      </c>
      <c r="C95" s="73" t="str">
        <f>+'2024'!C95</f>
        <v>Número</v>
      </c>
      <c r="D95" s="73" t="str">
        <f>+'2024'!D95</f>
        <v>Agendas Gestionada</v>
      </c>
      <c r="E95" s="131">
        <v>0</v>
      </c>
      <c r="F95" s="46">
        <f>SUM(H95:AO95)</f>
        <v>0</v>
      </c>
      <c r="G95" s="132"/>
      <c r="H95" s="39"/>
      <c r="I95" s="39"/>
      <c r="J95" s="39"/>
      <c r="K95" s="39"/>
      <c r="L95" s="39"/>
      <c r="M95" s="39"/>
      <c r="N95" s="39"/>
      <c r="O95" s="39"/>
      <c r="P95" s="103"/>
      <c r="Q95" s="39"/>
      <c r="R95" s="10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</row>
    <row r="96" spans="1:41" s="50" customFormat="1" ht="15" x14ac:dyDescent="0.25">
      <c r="A96" s="49" t="str">
        <f>+'2024'!A96</f>
        <v>PILAR 3</v>
      </c>
      <c r="B96" s="49" t="str">
        <f>+'2024'!B96</f>
        <v>APROPIACIÓN DEL BIOTERRITORIO</v>
      </c>
      <c r="C96" s="366"/>
      <c r="D96" s="366"/>
      <c r="E96" s="51"/>
      <c r="F96" s="115">
        <f>SUM(G96:R96)</f>
        <v>9644449000</v>
      </c>
      <c r="G96" s="114">
        <f t="shared" ref="G96:Q96" si="25">+G97+G122</f>
        <v>0</v>
      </c>
      <c r="H96" s="114">
        <f t="shared" si="25"/>
        <v>6658249000</v>
      </c>
      <c r="I96" s="114">
        <f t="shared" si="25"/>
        <v>1150000000</v>
      </c>
      <c r="J96" s="114">
        <f t="shared" si="25"/>
        <v>315500000</v>
      </c>
      <c r="K96" s="114">
        <f t="shared" si="25"/>
        <v>0</v>
      </c>
      <c r="L96" s="114">
        <f t="shared" si="25"/>
        <v>1000000000</v>
      </c>
      <c r="M96" s="114">
        <f t="shared" si="25"/>
        <v>0</v>
      </c>
      <c r="N96" s="114">
        <f t="shared" si="25"/>
        <v>0</v>
      </c>
      <c r="O96" s="114">
        <f t="shared" si="25"/>
        <v>290700000</v>
      </c>
      <c r="P96" s="114">
        <f t="shared" si="25"/>
        <v>230000000</v>
      </c>
      <c r="Q96" s="52">
        <f t="shared" si="25"/>
        <v>0</v>
      </c>
    </row>
    <row r="97" spans="1:17" s="55" customFormat="1" ht="32.1" customHeight="1" x14ac:dyDescent="0.25">
      <c r="A97" s="54" t="str">
        <f>+'2024'!A97</f>
        <v>PROGRAMA 3.1</v>
      </c>
      <c r="B97" s="54" t="str">
        <f>+'2024'!B97</f>
        <v>GOBERNABILIDAD DEL BIOTERRITORIO</v>
      </c>
      <c r="C97" s="365"/>
      <c r="D97" s="365"/>
      <c r="E97" s="56"/>
      <c r="F97" s="109">
        <f>SUM(G97:R97)</f>
        <v>4807449000</v>
      </c>
      <c r="G97" s="108">
        <f t="shared" ref="G97:Q97" si="26">+G98+G111+G115</f>
        <v>0</v>
      </c>
      <c r="H97" s="108">
        <f t="shared" si="26"/>
        <v>3471249000</v>
      </c>
      <c r="I97" s="108">
        <f t="shared" si="26"/>
        <v>0</v>
      </c>
      <c r="J97" s="108">
        <f t="shared" si="26"/>
        <v>315500000</v>
      </c>
      <c r="K97" s="108">
        <f t="shared" si="26"/>
        <v>0</v>
      </c>
      <c r="L97" s="108">
        <f t="shared" si="26"/>
        <v>500000000</v>
      </c>
      <c r="M97" s="108">
        <f t="shared" si="26"/>
        <v>0</v>
      </c>
      <c r="N97" s="108">
        <f t="shared" si="26"/>
        <v>0</v>
      </c>
      <c r="O97" s="108">
        <f t="shared" si="26"/>
        <v>290700000</v>
      </c>
      <c r="P97" s="108">
        <f t="shared" si="26"/>
        <v>230000000</v>
      </c>
      <c r="Q97" s="57">
        <f t="shared" si="26"/>
        <v>0</v>
      </c>
    </row>
    <row r="98" spans="1:17" s="62" customFormat="1" ht="15" x14ac:dyDescent="0.25">
      <c r="A98" s="281" t="str">
        <f>+'2024'!A98</f>
        <v>PROYECTO 3.1.1</v>
      </c>
      <c r="B98" s="281" t="str">
        <f>+'2024'!B98</f>
        <v>Autoridad ambiental del bioterritorio</v>
      </c>
      <c r="C98" s="283" t="str">
        <f>+'2024'!C98</f>
        <v>CÓDIGO DNP</v>
      </c>
      <c r="D98" s="281">
        <f>+'2024'!D98</f>
        <v>3201</v>
      </c>
      <c r="E98" s="63"/>
      <c r="F98" s="92">
        <f>SUM(G98:R98)</f>
        <v>3127449000</v>
      </c>
      <c r="G98" s="116">
        <f>SUM(G100:G110)</f>
        <v>0</v>
      </c>
      <c r="H98" s="116">
        <f t="shared" ref="H98:P98" si="27">SUM(H100:H110)</f>
        <v>1991249000</v>
      </c>
      <c r="I98" s="116">
        <f t="shared" si="27"/>
        <v>0</v>
      </c>
      <c r="J98" s="116">
        <f t="shared" si="27"/>
        <v>315500000</v>
      </c>
      <c r="K98" s="116">
        <f t="shared" si="27"/>
        <v>0</v>
      </c>
      <c r="L98" s="116">
        <f t="shared" si="27"/>
        <v>300000000</v>
      </c>
      <c r="M98" s="116">
        <f t="shared" si="27"/>
        <v>0</v>
      </c>
      <c r="N98" s="116">
        <f t="shared" si="27"/>
        <v>0</v>
      </c>
      <c r="O98" s="116">
        <f t="shared" si="27"/>
        <v>290700000</v>
      </c>
      <c r="P98" s="116">
        <f t="shared" si="27"/>
        <v>230000000</v>
      </c>
      <c r="Q98" s="64">
        <f>SUM(Q100:Q110)</f>
        <v>0</v>
      </c>
    </row>
    <row r="99" spans="1:17" s="158" customFormat="1" ht="30" x14ac:dyDescent="0.25">
      <c r="A99" s="155" t="str">
        <f>+'2024'!A99</f>
        <v>CODIGO</v>
      </c>
      <c r="B99" s="155" t="str">
        <f>+'2024'!B99</f>
        <v>ACCIONES 
(INFINITIVO)</v>
      </c>
      <c r="C99" s="155" t="str">
        <f>+'2024'!C99</f>
        <v>UNIDAD 
DE MEDIDA</v>
      </c>
      <c r="D99" s="155" t="str">
        <f>+'2024'!D99</f>
        <v>INDICADOR 
FÓRMULA</v>
      </c>
      <c r="E99" s="155" t="s">
        <v>395</v>
      </c>
      <c r="F99" s="157" t="s">
        <v>396</v>
      </c>
      <c r="G99" s="161"/>
      <c r="H99" s="163"/>
      <c r="I99" s="162"/>
      <c r="J99" s="162"/>
      <c r="K99" s="162"/>
      <c r="L99" s="162"/>
      <c r="M99" s="162"/>
      <c r="N99" s="162"/>
      <c r="O99" s="159"/>
      <c r="P99" s="159"/>
      <c r="Q99" s="160"/>
    </row>
    <row r="100" spans="1:17" ht="99" customHeight="1" x14ac:dyDescent="0.25">
      <c r="A100" s="73" t="str">
        <f>+'2024'!A100</f>
        <v>3.1.1.1</v>
      </c>
      <c r="B100" s="73" t="str">
        <f>+'2024'!B100</f>
        <v>Establecer los lineamientos generales y consolidar los criterios técnicos, que permitan fortalecer la objetividad, oportunidad y transparencia en los procesos de evaluación ambiental, contribuyendo al desarrollo sostenible del país</v>
      </c>
      <c r="C100" s="73" t="str">
        <f>+'2024'!C100</f>
        <v>Número</v>
      </c>
      <c r="D100" s="73" t="str">
        <f>+'2024'!D100</f>
        <v xml:space="preserve"># de documentos formulados y socializados </v>
      </c>
      <c r="E100" s="8">
        <v>16</v>
      </c>
      <c r="F100" s="46">
        <f t="shared" ref="F100:F110" si="28">SUM(H100:AO100)</f>
        <v>0</v>
      </c>
      <c r="G100" s="80"/>
      <c r="H100" s="78"/>
      <c r="I100" s="78"/>
      <c r="J100" s="78"/>
      <c r="K100" s="78"/>
      <c r="L100" s="78"/>
      <c r="M100" s="78"/>
      <c r="N100" s="78"/>
      <c r="O100" s="79"/>
      <c r="P100" s="79"/>
      <c r="Q100" s="39"/>
    </row>
    <row r="101" spans="1:17" ht="60" customHeight="1" x14ac:dyDescent="0.25">
      <c r="A101" s="73" t="str">
        <f>+'2024'!A101</f>
        <v>3.1.1.2</v>
      </c>
      <c r="B101" s="73" t="str">
        <f>+'2024'!B101</f>
        <v>Implementar el funcionamiento de la plataforma de recepción de trámites ambientales en linea a través de la página web de la entidad</v>
      </c>
      <c r="C101" s="73" t="str">
        <f>+'2024'!C101</f>
        <v>Numero</v>
      </c>
      <c r="D101" s="73" t="str">
        <f>+'2024'!D101</f>
        <v xml:space="preserve"># de trámites en linea </v>
      </c>
      <c r="E101" s="8">
        <v>1</v>
      </c>
      <c r="F101" s="46">
        <f t="shared" si="28"/>
        <v>0</v>
      </c>
      <c r="G101" s="80"/>
      <c r="H101" s="78"/>
      <c r="I101" s="78"/>
      <c r="J101" s="78"/>
      <c r="K101" s="78"/>
      <c r="L101" s="78"/>
      <c r="M101" s="78"/>
      <c r="N101" s="78"/>
      <c r="O101" s="79"/>
      <c r="P101" s="79"/>
      <c r="Q101" s="39"/>
    </row>
    <row r="102" spans="1:17" ht="61.5" customHeight="1" x14ac:dyDescent="0.25">
      <c r="A102" s="73" t="str">
        <f>+'2024'!A102</f>
        <v>3.1.1.3</v>
      </c>
      <c r="B102" s="73" t="str">
        <f>+'2024'!B102</f>
        <v>Actualizar las tablas de cobro e implementar metodos de  Autoliquidacion de tramites sujetos a pago y pago en linea</v>
      </c>
      <c r="C102" s="73" t="str">
        <f>+'2024'!C102</f>
        <v>Número</v>
      </c>
      <c r="D102" s="73" t="str">
        <f>+'2024'!D102</f>
        <v xml:space="preserve"># pagos de tramites en linea con autoliquidación </v>
      </c>
      <c r="E102" s="8" t="s">
        <v>330</v>
      </c>
      <c r="F102" s="46">
        <f t="shared" si="28"/>
        <v>0</v>
      </c>
      <c r="G102" s="80"/>
      <c r="H102" s="78"/>
      <c r="I102" s="78"/>
      <c r="J102" s="78"/>
      <c r="K102" s="78"/>
      <c r="L102" s="78"/>
      <c r="M102" s="78"/>
      <c r="N102" s="78"/>
      <c r="O102" s="79"/>
      <c r="P102" s="79"/>
      <c r="Q102" s="39"/>
    </row>
    <row r="103" spans="1:17" ht="55.5" customHeight="1" x14ac:dyDescent="0.25">
      <c r="A103" s="73" t="str">
        <f>+'2024'!A103</f>
        <v>3.1.1.4</v>
      </c>
      <c r="B103" s="73" t="str">
        <f>+'2024'!B103</f>
        <v>Cargar y validar la información geografica de expedientes activos en los sistemas de información de la entidad - Licenciamiento ambiental</v>
      </c>
      <c r="C103" s="73" t="str">
        <f>+'2024'!C103</f>
        <v>Número</v>
      </c>
      <c r="D103" s="73" t="str">
        <f>+'2024'!D103</f>
        <v># de expedientes con informaicón geográfica cargada y validada</v>
      </c>
      <c r="E103" s="8">
        <v>34</v>
      </c>
      <c r="F103" s="46">
        <f t="shared" si="28"/>
        <v>0</v>
      </c>
      <c r="G103" s="80"/>
      <c r="H103" s="78"/>
      <c r="I103" s="78"/>
      <c r="J103" s="78"/>
      <c r="K103" s="78"/>
      <c r="L103" s="78"/>
      <c r="M103" s="78"/>
      <c r="N103" s="78"/>
      <c r="O103" s="79"/>
      <c r="P103" s="79"/>
      <c r="Q103" s="39"/>
    </row>
    <row r="104" spans="1:17" ht="52.5" customHeight="1" x14ac:dyDescent="0.25">
      <c r="A104" s="73" t="str">
        <f>+'2024'!A104</f>
        <v>3.1.1.5</v>
      </c>
      <c r="B104" s="73" t="str">
        <f>+'2024'!B104</f>
        <v>Evaluar las solicitudes de permisos y licencias ambientales  en los tiempos establecidos en la normatividad ambiental vigente.</v>
      </c>
      <c r="C104" s="73" t="str">
        <f>+'2024'!C104</f>
        <v>Número</v>
      </c>
      <c r="D104" s="73" t="str">
        <f>+'2024'!D104</f>
        <v xml:space="preserve"># de tramites resueltos con el cumplimiento de tiempos de norma </v>
      </c>
      <c r="E104" s="8">
        <v>324</v>
      </c>
      <c r="F104" s="46">
        <f t="shared" si="28"/>
        <v>511090559</v>
      </c>
      <c r="G104" s="80"/>
      <c r="H104" s="78">
        <f>194960799+629760</f>
        <v>195590559</v>
      </c>
      <c r="I104" s="78"/>
      <c r="J104" s="78">
        <v>315500000</v>
      </c>
      <c r="K104" s="78"/>
      <c r="L104" s="78"/>
      <c r="M104" s="78"/>
      <c r="N104" s="78"/>
      <c r="O104" s="79"/>
      <c r="P104" s="79"/>
      <c r="Q104" s="39"/>
    </row>
    <row r="105" spans="1:17" ht="55.5" customHeight="1" x14ac:dyDescent="0.25">
      <c r="A105" s="73" t="str">
        <f>+'2024'!A105</f>
        <v>3.1.1.6</v>
      </c>
      <c r="B105" s="73" t="str">
        <f>+'2024'!B105</f>
        <v>Resolver técnicamente los diferentes trámites y permisos que se tienen como pasivos con corte a vigencia 2023</v>
      </c>
      <c r="C105" s="73" t="str">
        <f>+'2024'!C105</f>
        <v>Número</v>
      </c>
      <c r="D105" s="73" t="str">
        <f>+'2024'!D105</f>
        <v># de pasivos resueltos</v>
      </c>
      <c r="E105" s="8">
        <v>0</v>
      </c>
      <c r="F105" s="46">
        <f t="shared" si="28"/>
        <v>0</v>
      </c>
      <c r="G105" s="80"/>
      <c r="H105" s="78"/>
      <c r="I105" s="78"/>
      <c r="J105" s="78"/>
      <c r="K105" s="78"/>
      <c r="L105" s="78"/>
      <c r="M105" s="78"/>
      <c r="N105" s="78"/>
      <c r="O105" s="79"/>
      <c r="P105" s="79"/>
      <c r="Q105" s="39"/>
    </row>
    <row r="106" spans="1:17" ht="66.75" customHeight="1" x14ac:dyDescent="0.25">
      <c r="A106" s="73" t="str">
        <f>+'2024'!A106</f>
        <v>3.1.1.7</v>
      </c>
      <c r="B106" s="73" t="str">
        <f>+'2024'!B106</f>
        <v>Realizar cobertura del seguimiento (Documental, con visita o espacial) a los expedientes activos para cada uno de los trámites competencia de la entidad.</v>
      </c>
      <c r="C106" s="73" t="str">
        <f>+'2024'!C106</f>
        <v>Número</v>
      </c>
      <c r="D106" s="73" t="str">
        <f>+'2024'!D106</f>
        <v xml:space="preserve"># de seguimientos </v>
      </c>
      <c r="E106" s="8">
        <v>2001</v>
      </c>
      <c r="F106" s="46">
        <f t="shared" si="28"/>
        <v>1577553886</v>
      </c>
      <c r="G106" s="80"/>
      <c r="H106" s="78">
        <v>1577553886</v>
      </c>
      <c r="I106" s="78"/>
      <c r="J106" s="78"/>
      <c r="K106" s="78"/>
      <c r="L106" s="78"/>
      <c r="M106" s="78"/>
      <c r="N106" s="78"/>
      <c r="O106" s="79"/>
      <c r="P106" s="79"/>
      <c r="Q106" s="39"/>
    </row>
    <row r="107" spans="1:17" ht="56.25" customHeight="1" x14ac:dyDescent="0.25">
      <c r="A107" s="73" t="str">
        <f>+'2024'!A107</f>
        <v>3.1.1.8</v>
      </c>
      <c r="B107" s="73" t="str">
        <f>+'2024'!B107</f>
        <v>Realizar el seguimiento, control y monitoreo a los recursos naturales, frente a la atención de PQRs y/o acciones preventivas</v>
      </c>
      <c r="C107" s="73" t="str">
        <f>+'2024'!C107</f>
        <v>Número</v>
      </c>
      <c r="D107" s="73" t="str">
        <f>+'2024'!D107</f>
        <v># de seguimientos de control y monitoreo</v>
      </c>
      <c r="E107" s="8">
        <v>775</v>
      </c>
      <c r="F107" s="46">
        <f t="shared" si="28"/>
        <v>659455200</v>
      </c>
      <c r="G107" s="80"/>
      <c r="H107" s="78">
        <f>359455200-230000000</f>
        <v>129455200</v>
      </c>
      <c r="I107" s="78"/>
      <c r="J107" s="78"/>
      <c r="K107" s="78"/>
      <c r="L107" s="78">
        <v>300000000</v>
      </c>
      <c r="M107" s="78"/>
      <c r="N107" s="78"/>
      <c r="O107" s="79"/>
      <c r="P107" s="79">
        <v>230000000</v>
      </c>
      <c r="Q107" s="39"/>
    </row>
    <row r="108" spans="1:17" ht="66" customHeight="1" x14ac:dyDescent="0.25">
      <c r="A108" s="73" t="str">
        <f>+'2024'!A108</f>
        <v>3.1.1.9</v>
      </c>
      <c r="B108" s="73" t="str">
        <f>+'2024'!B108</f>
        <v>Gestionar el proceso de cierre de procesos sancionatorios y permisos en el marco del seguimiento a trámites y permisos competencia de la entidad con vigencia al 2023</v>
      </c>
      <c r="C108" s="73" t="str">
        <f>+'2024'!C108</f>
        <v>Número</v>
      </c>
      <c r="D108" s="73" t="str">
        <f>+'2024'!D108</f>
        <v>Cantidad de sancionatorios y trámites cerrados</v>
      </c>
      <c r="E108" s="8">
        <v>0</v>
      </c>
      <c r="F108" s="46">
        <f t="shared" si="28"/>
        <v>0</v>
      </c>
      <c r="G108" s="80"/>
      <c r="H108" s="78"/>
      <c r="I108" s="78"/>
      <c r="J108" s="78"/>
      <c r="K108" s="78"/>
      <c r="L108" s="78"/>
      <c r="M108" s="78"/>
      <c r="N108" s="78"/>
      <c r="O108" s="79"/>
      <c r="P108" s="79"/>
      <c r="Q108" s="39"/>
    </row>
    <row r="109" spans="1:17" ht="42.75" customHeight="1" x14ac:dyDescent="0.25">
      <c r="A109" s="73" t="str">
        <f>+'2024'!A109</f>
        <v>3.1.1.10</v>
      </c>
      <c r="B109" s="73" t="str">
        <f>+'2024'!B109</f>
        <v>Impulsar juridicamente los procesos sancionatorios recibidos en la vigencia</v>
      </c>
      <c r="C109" s="73" t="str">
        <f>+'2024'!C109</f>
        <v>Porcentaje</v>
      </c>
      <c r="D109" s="73" t="str">
        <f>+'2024'!D109</f>
        <v> % de procesos sancionatorios de la vigencia atendidos</v>
      </c>
      <c r="E109" s="8">
        <v>100</v>
      </c>
      <c r="F109" s="46">
        <f t="shared" si="28"/>
        <v>205564765</v>
      </c>
      <c r="G109" s="80"/>
      <c r="H109" s="78"/>
      <c r="I109" s="78"/>
      <c r="J109" s="78"/>
      <c r="K109" s="78"/>
      <c r="L109" s="78"/>
      <c r="M109" s="78"/>
      <c r="N109" s="78"/>
      <c r="O109" s="79">
        <v>205564765</v>
      </c>
      <c r="P109" s="79"/>
      <c r="Q109" s="39"/>
    </row>
    <row r="110" spans="1:17" ht="40.5" customHeight="1" x14ac:dyDescent="0.25">
      <c r="A110" s="73" t="str">
        <f>+'2024'!A110</f>
        <v>3.1.1.11</v>
      </c>
      <c r="B110" s="73" t="str">
        <f>+'2024'!B110</f>
        <v>Gestión jurídica a los trámites y/o permisos ambientales priorizados en la entidad</v>
      </c>
      <c r="C110" s="73" t="str">
        <f>+'2024'!C110</f>
        <v>Porcentaje</v>
      </c>
      <c r="D110" s="73" t="str">
        <f>+'2024'!D110</f>
        <v>% de tramites y/o permisos ambientales atendidos</v>
      </c>
      <c r="E110" s="8">
        <v>100</v>
      </c>
      <c r="F110" s="46">
        <f t="shared" si="28"/>
        <v>173784590</v>
      </c>
      <c r="G110" s="80"/>
      <c r="H110" s="78">
        <v>88649355</v>
      </c>
      <c r="I110" s="78"/>
      <c r="J110" s="78"/>
      <c r="K110" s="78"/>
      <c r="L110" s="78"/>
      <c r="M110" s="78"/>
      <c r="N110" s="78"/>
      <c r="O110" s="79">
        <v>85135235</v>
      </c>
      <c r="P110" s="79"/>
      <c r="Q110" s="39"/>
    </row>
    <row r="111" spans="1:17" s="62" customFormat="1" ht="15" x14ac:dyDescent="0.25">
      <c r="A111" s="281" t="str">
        <f>+'2024'!A111</f>
        <v>PROYECTO 3.1.2</v>
      </c>
      <c r="B111" s="281" t="str">
        <f>+'2024'!B111</f>
        <v>Gestión financiera</v>
      </c>
      <c r="C111" s="283" t="str">
        <f>+'2024'!C111</f>
        <v>CODIGO DNP</v>
      </c>
      <c r="D111" s="281">
        <f>+'2024'!D111</f>
        <v>3299</v>
      </c>
      <c r="E111" s="61"/>
      <c r="F111" s="92">
        <f>SUM(G111:R111)</f>
        <v>250000000</v>
      </c>
      <c r="G111" s="140">
        <f t="shared" ref="G111:Q111" si="29">SUM(G113:G114)</f>
        <v>0</v>
      </c>
      <c r="H111" s="140">
        <f t="shared" si="29"/>
        <v>250000000</v>
      </c>
      <c r="I111" s="140">
        <f t="shared" si="29"/>
        <v>0</v>
      </c>
      <c r="J111" s="140">
        <f t="shared" si="29"/>
        <v>0</v>
      </c>
      <c r="K111" s="140">
        <f t="shared" si="29"/>
        <v>0</v>
      </c>
      <c r="L111" s="140">
        <f t="shared" si="29"/>
        <v>0</v>
      </c>
      <c r="M111" s="140">
        <f t="shared" si="29"/>
        <v>0</v>
      </c>
      <c r="N111" s="140">
        <f t="shared" si="29"/>
        <v>0</v>
      </c>
      <c r="O111" s="140">
        <f t="shared" si="29"/>
        <v>0</v>
      </c>
      <c r="P111" s="141">
        <f t="shared" si="29"/>
        <v>0</v>
      </c>
      <c r="Q111" s="64">
        <f t="shared" si="29"/>
        <v>0</v>
      </c>
    </row>
    <row r="112" spans="1:17" s="158" customFormat="1" ht="30" x14ac:dyDescent="0.25">
      <c r="A112" s="155" t="str">
        <f>+'2024'!A112</f>
        <v>CODIGO</v>
      </c>
      <c r="B112" s="155" t="str">
        <f>+'2024'!B112</f>
        <v>ACCIONES 
(INFINITIVO)</v>
      </c>
      <c r="C112" s="155" t="str">
        <f>+'2024'!C112</f>
        <v>UNIDAD 
DE MEDIDA</v>
      </c>
      <c r="D112" s="155" t="str">
        <f>+'2024'!D112</f>
        <v>INDICADOR 
FÓRMULA</v>
      </c>
      <c r="E112" s="155" t="s">
        <v>395</v>
      </c>
      <c r="F112" s="157" t="s">
        <v>396</v>
      </c>
      <c r="G112" s="161"/>
      <c r="H112" s="163"/>
      <c r="I112" s="162"/>
      <c r="J112" s="162"/>
      <c r="K112" s="162"/>
      <c r="L112" s="162"/>
      <c r="M112" s="162"/>
      <c r="N112" s="162"/>
      <c r="O112" s="159"/>
      <c r="P112" s="159"/>
      <c r="Q112" s="160"/>
    </row>
    <row r="113" spans="1:41" ht="45" x14ac:dyDescent="0.25">
      <c r="A113" s="73" t="str">
        <f>+'2024'!A113</f>
        <v>3.1.2.1</v>
      </c>
      <c r="B113" s="73" t="str">
        <f>+'2024'!B113</f>
        <v>Realizar convenios para apoyar la conservación y/o la actualización catastral</v>
      </c>
      <c r="C113" s="73" t="str">
        <f>+'2024'!C113</f>
        <v>Número</v>
      </c>
      <c r="D113" s="73" t="str">
        <f>+'2024'!D113</f>
        <v># de Convenios ejecutados para la conservación y/o la actualización catastral</v>
      </c>
      <c r="E113" s="111" t="s">
        <v>330</v>
      </c>
      <c r="F113" s="46">
        <f>SUM(G113:R113)</f>
        <v>0</v>
      </c>
      <c r="G113" s="143"/>
      <c r="H113" s="78"/>
      <c r="I113" s="78"/>
      <c r="J113" s="78"/>
      <c r="K113" s="78"/>
      <c r="L113" s="78"/>
      <c r="M113" s="78"/>
      <c r="N113" s="78"/>
      <c r="O113" s="79"/>
      <c r="P113" s="79"/>
      <c r="Q113" s="39"/>
    </row>
    <row r="114" spans="1:41" ht="39.75" customHeight="1" x14ac:dyDescent="0.25">
      <c r="A114" s="73" t="str">
        <f>+'2024'!A114</f>
        <v>3.1.2.2</v>
      </c>
      <c r="B114" s="73" t="str">
        <f>+'2024'!B114</f>
        <v>Fortalecer la Formulación y Gestión de Proyectos en la Corporación</v>
      </c>
      <c r="C114" s="73" t="str">
        <f>+'2024'!C114</f>
        <v>Número</v>
      </c>
      <c r="D114" s="73" t="str">
        <f>+'2024'!D114</f>
        <v># de proyectos formulados y gestionados ante diferentes instancias</v>
      </c>
      <c r="E114" s="75">
        <v>5</v>
      </c>
      <c r="F114" s="46">
        <f>SUM(G114:R114)</f>
        <v>250000000</v>
      </c>
      <c r="G114" s="144"/>
      <c r="H114" s="78">
        <v>250000000</v>
      </c>
      <c r="I114" s="78"/>
      <c r="J114" s="78"/>
      <c r="K114" s="78"/>
      <c r="L114" s="78"/>
      <c r="M114" s="78"/>
      <c r="N114" s="78"/>
      <c r="O114" s="79"/>
      <c r="P114" s="79"/>
      <c r="Q114" s="39"/>
    </row>
    <row r="115" spans="1:41" s="62" customFormat="1" ht="15" x14ac:dyDescent="0.25">
      <c r="A115" s="281" t="str">
        <f>+'2024'!A115</f>
        <v>PROYECTO 3.1.3</v>
      </c>
      <c r="B115" s="281" t="str">
        <f>+'2024'!B115</f>
        <v>Modernización y fortalecimiento Institucional</v>
      </c>
      <c r="C115" s="283" t="str">
        <f>+'2024'!C115</f>
        <v>CÓDIGO DNP</v>
      </c>
      <c r="D115" s="281">
        <f>+'2024'!D115</f>
        <v>3299</v>
      </c>
      <c r="E115" s="63"/>
      <c r="F115" s="92">
        <f>SUM(G115:R115)</f>
        <v>1430000000</v>
      </c>
      <c r="G115" s="116">
        <f>SUM(G117:G121)</f>
        <v>0</v>
      </c>
      <c r="H115" s="116">
        <f>SUM(H117:H121)</f>
        <v>1230000000</v>
      </c>
      <c r="I115" s="116">
        <f>SUM(I117:I121)</f>
        <v>0</v>
      </c>
      <c r="J115" s="116">
        <f>SUM(J117:J121)</f>
        <v>0</v>
      </c>
      <c r="K115" s="116">
        <f>SUM(K117:K121)</f>
        <v>0</v>
      </c>
      <c r="L115" s="116">
        <f>SUM(L118:L121)</f>
        <v>200000000</v>
      </c>
      <c r="M115" s="116">
        <f t="shared" ref="M115:Q115" si="30">SUM(M117:M121)</f>
        <v>0</v>
      </c>
      <c r="N115" s="116">
        <f t="shared" si="30"/>
        <v>0</v>
      </c>
      <c r="O115" s="116">
        <f t="shared" si="30"/>
        <v>0</v>
      </c>
      <c r="P115" s="116">
        <f t="shared" si="30"/>
        <v>0</v>
      </c>
      <c r="Q115" s="64">
        <f t="shared" si="30"/>
        <v>0</v>
      </c>
    </row>
    <row r="116" spans="1:41" s="158" customFormat="1" ht="30" x14ac:dyDescent="0.25">
      <c r="A116" s="155" t="str">
        <f>+'2024'!A116</f>
        <v>CODIGO</v>
      </c>
      <c r="B116" s="155" t="str">
        <f>+'2024'!B116</f>
        <v>ACCIONES 
(INFINITIVO)</v>
      </c>
      <c r="C116" s="155" t="str">
        <f>+'2024'!C116</f>
        <v>UNIDAD 
DE MEDIDA</v>
      </c>
      <c r="D116" s="155" t="str">
        <f>+'2024'!D116</f>
        <v>INDICADOR 
FÓRMULA</v>
      </c>
      <c r="E116" s="155" t="s">
        <v>395</v>
      </c>
      <c r="F116" s="157" t="s">
        <v>396</v>
      </c>
      <c r="G116" s="161"/>
      <c r="H116" s="163"/>
      <c r="I116" s="162"/>
      <c r="J116" s="162"/>
      <c r="K116" s="162"/>
      <c r="L116" s="162"/>
      <c r="M116" s="162"/>
      <c r="N116" s="162"/>
      <c r="O116" s="159"/>
      <c r="P116" s="159"/>
      <c r="Q116" s="160"/>
    </row>
    <row r="117" spans="1:41" ht="45" x14ac:dyDescent="0.25">
      <c r="A117" s="73" t="str">
        <f>+'2024'!A117</f>
        <v>3.1.3.1</v>
      </c>
      <c r="B117" s="73" t="str">
        <f>+'2024'!B117</f>
        <v xml:space="preserve">Ejecutar el plan estratégico en Tecnología de la información y las comunicaciones </v>
      </c>
      <c r="C117" s="73" t="str">
        <f>+'2024'!C117</f>
        <v>Porcentaje</v>
      </c>
      <c r="D117" s="73" t="str">
        <f>+'2024'!D117</f>
        <v xml:space="preserve">% de cumplimiento plan estratégico en Tecnología de la información y las comunicaciones </v>
      </c>
      <c r="E117" s="145">
        <v>90</v>
      </c>
      <c r="F117" s="46">
        <f>SUM(G117:R117)</f>
        <v>370000000</v>
      </c>
      <c r="G117" s="143"/>
      <c r="H117" s="78">
        <v>370000000</v>
      </c>
      <c r="I117" s="78"/>
      <c r="J117" s="78"/>
      <c r="K117" s="78"/>
      <c r="M117" s="78"/>
      <c r="N117" s="78"/>
      <c r="O117" s="79"/>
      <c r="P117" s="79"/>
      <c r="Q117" s="39"/>
    </row>
    <row r="118" spans="1:41" ht="60.75" customHeight="1" x14ac:dyDescent="0.25">
      <c r="A118" s="73" t="str">
        <f>+'2024'!A118</f>
        <v>3.1.3.2</v>
      </c>
      <c r="B118" s="73" t="str">
        <f>+'2024'!B118</f>
        <v>Formular y ejecutar un plan que asegure la modernización y operatividad del Laboratorio ambiental</v>
      </c>
      <c r="C118" s="73" t="str">
        <f>+'2024'!C118</f>
        <v>Porcentaje</v>
      </c>
      <c r="D118" s="73" t="str">
        <f>+'2024'!D118</f>
        <v>% de cumplimiento plan estratégico de funcionamiento de laboratorio ambiental</v>
      </c>
      <c r="E118" s="146">
        <v>50</v>
      </c>
      <c r="F118" s="46">
        <f>SUM(G118:R118)</f>
        <v>400000000</v>
      </c>
      <c r="G118" s="143"/>
      <c r="H118" s="78">
        <v>200000000</v>
      </c>
      <c r="I118" s="78"/>
      <c r="J118" s="78"/>
      <c r="K118" s="78"/>
      <c r="L118" s="78">
        <v>200000000</v>
      </c>
      <c r="M118" s="78"/>
      <c r="N118" s="78"/>
      <c r="O118" s="79"/>
      <c r="P118" s="79"/>
      <c r="Q118" s="39"/>
    </row>
    <row r="119" spans="1:41" ht="36.75" customHeight="1" x14ac:dyDescent="0.25">
      <c r="A119" s="73" t="str">
        <f>+'2024'!A119</f>
        <v>3.1.3.3</v>
      </c>
      <c r="B119" s="73" t="str">
        <f>+'2024'!B119</f>
        <v>Mejorar el porcentaje de implementación del modelo integrado de planeación y gestión</v>
      </c>
      <c r="C119" s="73" t="str">
        <f>+'2024'!C119</f>
        <v>Porcentaje</v>
      </c>
      <c r="D119" s="73" t="str">
        <f>+'2024'!D119</f>
        <v>% de implementación MIPG</v>
      </c>
      <c r="E119" s="145">
        <v>94</v>
      </c>
      <c r="F119" s="46">
        <f>SUM(G119:R119)</f>
        <v>530000000</v>
      </c>
      <c r="G119" s="143"/>
      <c r="H119" s="78">
        <v>530000000</v>
      </c>
      <c r="I119" s="78"/>
      <c r="J119" s="78"/>
      <c r="K119" s="78"/>
      <c r="L119" s="78"/>
      <c r="M119" s="78"/>
      <c r="N119" s="78"/>
      <c r="O119" s="79"/>
      <c r="P119" s="79"/>
      <c r="Q119" s="39"/>
    </row>
    <row r="120" spans="1:41" ht="45.75" customHeight="1" x14ac:dyDescent="0.25">
      <c r="A120" s="73" t="str">
        <f>+'2024'!A120</f>
        <v>3.1.3.4</v>
      </c>
      <c r="B120" s="73" t="str">
        <f>+'2024'!B120</f>
        <v>Formular y ejecutar un plan que asegure la modernización y operatividad del Laboratorio de suelos</v>
      </c>
      <c r="C120" s="73" t="str">
        <f>+'2024'!C120</f>
        <v>Porcentaje</v>
      </c>
      <c r="D120" s="73" t="str">
        <f>+'2024'!D120</f>
        <v>% de cumplimiento plan estratégico de funcionamiento de laboratorio de suelos</v>
      </c>
      <c r="E120" s="147">
        <v>100</v>
      </c>
      <c r="F120" s="46">
        <f>SUM(G120:R120)</f>
        <v>50000000</v>
      </c>
      <c r="G120" s="143"/>
      <c r="H120" s="78">
        <v>50000000</v>
      </c>
      <c r="I120" s="78"/>
      <c r="J120" s="78"/>
      <c r="K120" s="78"/>
      <c r="L120" s="78"/>
      <c r="M120" s="78"/>
      <c r="N120" s="78"/>
      <c r="O120" s="79"/>
      <c r="P120" s="79"/>
      <c r="Q120" s="39"/>
    </row>
    <row r="121" spans="1:41" ht="48" customHeight="1" x14ac:dyDescent="0.25">
      <c r="A121" s="73" t="str">
        <f>+'2024'!A121</f>
        <v>3.1.3.5</v>
      </c>
      <c r="B121" s="73" t="str">
        <f>+'2024'!B121</f>
        <v>Mantener el reconocimiento y categorización del grupo de investigación de Corpocaldas frente a MinCiencias</v>
      </c>
      <c r="C121" s="73" t="str">
        <f>+'2024'!C121</f>
        <v>Número</v>
      </c>
      <c r="D121" s="73" t="str">
        <f>+'2024'!D121</f>
        <v>Grupo de Investigación en Categoría C de MinCiencias</v>
      </c>
      <c r="E121" s="131">
        <v>1</v>
      </c>
      <c r="F121" s="46">
        <f>SUM(H121:AO121)</f>
        <v>80000000</v>
      </c>
      <c r="G121" s="132"/>
      <c r="H121" s="39">
        <v>80000000</v>
      </c>
      <c r="I121" s="39"/>
      <c r="J121" s="39"/>
      <c r="K121" s="39"/>
      <c r="L121" s="39"/>
      <c r="M121" s="39"/>
      <c r="N121" s="39"/>
      <c r="O121" s="39"/>
      <c r="P121" s="103"/>
      <c r="Q121" s="39"/>
      <c r="R121" s="10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</row>
    <row r="122" spans="1:41" s="55" customFormat="1" ht="32.1" customHeight="1" x14ac:dyDescent="0.25">
      <c r="A122" s="54" t="str">
        <f>+'2024'!A122</f>
        <v>PROGRAMA 3.2</v>
      </c>
      <c r="B122" s="54" t="str">
        <f>+'2024'!B122</f>
        <v>GOBERNANZA AMBIENTAL</v>
      </c>
      <c r="C122" s="365"/>
      <c r="D122" s="365"/>
      <c r="E122" s="56"/>
      <c r="F122" s="109">
        <f>SUM(G122:R122)</f>
        <v>4837000000</v>
      </c>
      <c r="G122" s="108">
        <f t="shared" ref="G122:Q122" si="31">+G123+G130+G135</f>
        <v>0</v>
      </c>
      <c r="H122" s="108">
        <f t="shared" si="31"/>
        <v>3187000000</v>
      </c>
      <c r="I122" s="108">
        <f t="shared" si="31"/>
        <v>1150000000</v>
      </c>
      <c r="J122" s="108">
        <f t="shared" si="31"/>
        <v>0</v>
      </c>
      <c r="K122" s="108">
        <f t="shared" si="31"/>
        <v>0</v>
      </c>
      <c r="L122" s="108">
        <f t="shared" si="31"/>
        <v>500000000</v>
      </c>
      <c r="M122" s="108">
        <f t="shared" si="31"/>
        <v>0</v>
      </c>
      <c r="N122" s="108">
        <f t="shared" si="31"/>
        <v>0</v>
      </c>
      <c r="O122" s="108">
        <f t="shared" si="31"/>
        <v>0</v>
      </c>
      <c r="P122" s="108">
        <f t="shared" si="31"/>
        <v>0</v>
      </c>
      <c r="Q122" s="57">
        <f t="shared" si="31"/>
        <v>0</v>
      </c>
    </row>
    <row r="123" spans="1:41" s="62" customFormat="1" ht="15" customHeight="1" x14ac:dyDescent="0.25">
      <c r="A123" s="281" t="str">
        <f>+'2024'!A123</f>
        <v>PROYECTO 3.2.1</v>
      </c>
      <c r="B123" s="281" t="str">
        <f>+'2024'!B123</f>
        <v>Educación y comunicación para la apropiación del bioterritorio</v>
      </c>
      <c r="C123" s="283" t="str">
        <f>+'2024'!C123</f>
        <v>CÓDIGO DNP</v>
      </c>
      <c r="D123" s="281">
        <f>+'2024'!D123</f>
        <v>3208</v>
      </c>
      <c r="E123" s="63"/>
      <c r="F123" s="92">
        <f>SUM(G123:R123)</f>
        <v>2105000000</v>
      </c>
      <c r="G123" s="116">
        <f t="shared" ref="G123:Q123" si="32">SUM(G125:G129)</f>
        <v>0</v>
      </c>
      <c r="H123" s="116">
        <f t="shared" si="32"/>
        <v>1720000000</v>
      </c>
      <c r="I123" s="116">
        <f t="shared" si="32"/>
        <v>385000000</v>
      </c>
      <c r="J123" s="116">
        <f t="shared" si="32"/>
        <v>0</v>
      </c>
      <c r="K123" s="116">
        <f t="shared" si="32"/>
        <v>0</v>
      </c>
      <c r="L123" s="116">
        <f t="shared" si="32"/>
        <v>0</v>
      </c>
      <c r="M123" s="116">
        <f t="shared" si="32"/>
        <v>0</v>
      </c>
      <c r="N123" s="116">
        <f t="shared" si="32"/>
        <v>0</v>
      </c>
      <c r="O123" s="116">
        <f t="shared" si="32"/>
        <v>0</v>
      </c>
      <c r="P123" s="116">
        <f t="shared" si="32"/>
        <v>0</v>
      </c>
      <c r="Q123" s="64">
        <f t="shared" si="32"/>
        <v>0</v>
      </c>
    </row>
    <row r="124" spans="1:41" s="158" customFormat="1" ht="30" x14ac:dyDescent="0.25">
      <c r="A124" s="155" t="str">
        <f>+'2024'!A124</f>
        <v>CODIGO</v>
      </c>
      <c r="B124" s="155" t="str">
        <f>+'2024'!B124</f>
        <v>ACCIONES 
(INFINITIVO)</v>
      </c>
      <c r="C124" s="155" t="str">
        <f>+'2024'!C124</f>
        <v>UNIDAD 
DE MEDIDA</v>
      </c>
      <c r="D124" s="155" t="str">
        <f>+'2024'!D124</f>
        <v>INDICADOR 
FÓRMULA</v>
      </c>
      <c r="E124" s="155" t="s">
        <v>395</v>
      </c>
      <c r="F124" s="157" t="s">
        <v>396</v>
      </c>
      <c r="G124" s="161"/>
      <c r="H124" s="163"/>
      <c r="I124" s="162"/>
      <c r="J124" s="162"/>
      <c r="K124" s="162"/>
      <c r="L124" s="162"/>
      <c r="M124" s="162"/>
      <c r="N124" s="162"/>
      <c r="O124" s="159"/>
      <c r="P124" s="159"/>
      <c r="Q124" s="160"/>
    </row>
    <row r="125" spans="1:41" ht="64.5" customHeight="1" x14ac:dyDescent="0.25">
      <c r="A125" s="73" t="str">
        <f>+'2024'!A125</f>
        <v>3.2.1.1</v>
      </c>
      <c r="B125" s="73" t="str">
        <f>+'2024'!B125</f>
        <v>Implementar  estrategias de comunicación para el conocimiento ambiental, promoción de la conservación y la apropiación del bioterritorio y la acción colaborativa</v>
      </c>
      <c r="C125" s="73" t="str">
        <f>+'2024'!C125</f>
        <v>Número</v>
      </c>
      <c r="D125" s="73" t="str">
        <f>+'2024'!D125</f>
        <v># de Estrategias implementadas</v>
      </c>
      <c r="E125" s="75">
        <v>4</v>
      </c>
      <c r="F125" s="46">
        <f t="shared" ref="F125:F130" si="33">SUM(G125:R125)</f>
        <v>350000000</v>
      </c>
      <c r="G125" s="80"/>
      <c r="H125" s="78">
        <v>350000000</v>
      </c>
      <c r="I125" s="78"/>
      <c r="J125" s="78"/>
      <c r="K125" s="78"/>
      <c r="L125" s="78"/>
      <c r="M125" s="78"/>
      <c r="N125" s="78"/>
      <c r="O125" s="79"/>
      <c r="P125" s="79"/>
      <c r="Q125" s="39"/>
    </row>
    <row r="126" spans="1:41" ht="63.75" customHeight="1" x14ac:dyDescent="0.25">
      <c r="A126" s="73" t="str">
        <f>+'2024'!A126</f>
        <v>3.2.1.2</v>
      </c>
      <c r="B126" s="73" t="str">
        <f>+'2024'!B126</f>
        <v xml:space="preserve">Implementar estrategias de comunicación para la visibilización de la gestión y las competencias de la entidad  y mejorar la percepción de valor de los grupos de interés </v>
      </c>
      <c r="C126" s="73" t="str">
        <f>+'2024'!C126</f>
        <v>Número</v>
      </c>
      <c r="D126" s="73" t="str">
        <f>+'2024'!D126</f>
        <v># de Estrategias implementadas</v>
      </c>
      <c r="E126" s="75">
        <v>6</v>
      </c>
      <c r="F126" s="46">
        <f t="shared" si="33"/>
        <v>350000000</v>
      </c>
      <c r="G126" s="80"/>
      <c r="H126" s="78">
        <v>350000000</v>
      </c>
      <c r="I126" s="78"/>
      <c r="J126" s="78"/>
      <c r="K126" s="78"/>
      <c r="L126" s="78"/>
      <c r="M126" s="78"/>
      <c r="N126" s="78"/>
      <c r="O126" s="79"/>
      <c r="P126" s="79"/>
      <c r="Q126" s="39"/>
    </row>
    <row r="127" spans="1:41" ht="53.25" customHeight="1" x14ac:dyDescent="0.25">
      <c r="A127" s="73" t="str">
        <f>+'2024'!A127</f>
        <v>3.2.1.3</v>
      </c>
      <c r="B127" s="73" t="str">
        <f>+'2024'!B127</f>
        <v>Implementar estrategias de comunicación interna  que impacten postivamente la cultura y el clima organizacional</v>
      </c>
      <c r="C127" s="73" t="str">
        <f>+'2024'!C127</f>
        <v>Número</v>
      </c>
      <c r="D127" s="73" t="str">
        <f>+'2024'!D127</f>
        <v># de Estrategias implementadas</v>
      </c>
      <c r="E127" s="148">
        <v>4</v>
      </c>
      <c r="F127" s="46">
        <f t="shared" si="33"/>
        <v>120000000</v>
      </c>
      <c r="G127" s="80"/>
      <c r="H127" s="78">
        <v>120000000</v>
      </c>
      <c r="I127" s="78"/>
      <c r="J127" s="78"/>
      <c r="K127" s="78"/>
      <c r="L127" s="78"/>
      <c r="M127" s="78"/>
      <c r="N127" s="78"/>
      <c r="O127" s="79"/>
      <c r="P127" s="79"/>
      <c r="Q127" s="39"/>
    </row>
    <row r="128" spans="1:41" ht="53.25" customHeight="1" x14ac:dyDescent="0.25">
      <c r="A128" s="73" t="str">
        <f>+'2024'!A128</f>
        <v>3.2.1.4</v>
      </c>
      <c r="B128" s="73" t="str">
        <f>+'2024'!B128</f>
        <v>Implementar el programa de educación ambiental establecido para la vigencia 2024 - 2027</v>
      </c>
      <c r="C128" s="73" t="str">
        <f>+'2024'!C128</f>
        <v>Porcentaje</v>
      </c>
      <c r="D128" s="73" t="str">
        <f>+'2024'!D128</f>
        <v>% de implementación del programa de educación ambiental</v>
      </c>
      <c r="E128" s="148">
        <v>30</v>
      </c>
      <c r="F128" s="46">
        <f t="shared" si="33"/>
        <v>1085000000</v>
      </c>
      <c r="G128" s="80"/>
      <c r="H128" s="78">
        <v>700000000</v>
      </c>
      <c r="I128" s="78">
        <v>385000000</v>
      </c>
      <c r="J128" s="78"/>
      <c r="K128" s="78"/>
      <c r="L128" s="78"/>
      <c r="M128" s="78"/>
      <c r="N128" s="78"/>
      <c r="O128" s="79"/>
      <c r="P128" s="79"/>
      <c r="Q128" s="39"/>
    </row>
    <row r="129" spans="1:17" ht="41.25" customHeight="1" x14ac:dyDescent="0.25">
      <c r="A129" s="73" t="str">
        <f>+'2024'!A129</f>
        <v>3.2.1.5</v>
      </c>
      <c r="B129" s="73" t="str">
        <f>+'2024'!B129</f>
        <v>Desarrollar proyectos de apropiación social del conocimiento socioambiental</v>
      </c>
      <c r="C129" s="73" t="str">
        <f>+'2024'!C129</f>
        <v>Número</v>
      </c>
      <c r="D129" s="73" t="str">
        <f>+'2024'!D129</f>
        <v># de acciones implementadas</v>
      </c>
      <c r="E129" s="149">
        <v>1</v>
      </c>
      <c r="F129" s="46">
        <f t="shared" si="33"/>
        <v>200000000</v>
      </c>
      <c r="G129" s="151"/>
      <c r="H129" s="39">
        <v>200000000</v>
      </c>
      <c r="I129" s="39"/>
      <c r="J129" s="39"/>
      <c r="K129" s="39"/>
      <c r="L129" s="39"/>
      <c r="M129" s="39"/>
      <c r="N129" s="39"/>
      <c r="O129" s="39"/>
      <c r="P129" s="39"/>
      <c r="Q129" s="39"/>
    </row>
    <row r="130" spans="1:17" s="62" customFormat="1" ht="27" customHeight="1" x14ac:dyDescent="0.25">
      <c r="A130" s="281" t="str">
        <f>+'2024'!A130</f>
        <v>PROYECTO 3.2.2</v>
      </c>
      <c r="B130" s="281" t="str">
        <f>+'2024'!B130</f>
        <v>Participación para la incidencia en el Bioterritorio</v>
      </c>
      <c r="C130" s="283" t="str">
        <f>+'2024'!C130</f>
        <v>CÓDIGO DNP</v>
      </c>
      <c r="D130" s="281">
        <f>+'2024'!D130</f>
        <v>3208</v>
      </c>
      <c r="E130" s="63"/>
      <c r="F130" s="92">
        <f t="shared" si="33"/>
        <v>1192000000</v>
      </c>
      <c r="G130" s="116">
        <f t="shared" ref="G130:Q130" si="34">SUM(G132:G134)</f>
        <v>0</v>
      </c>
      <c r="H130" s="116">
        <f t="shared" si="34"/>
        <v>827000000</v>
      </c>
      <c r="I130" s="116">
        <f t="shared" si="34"/>
        <v>365000000</v>
      </c>
      <c r="J130" s="116">
        <f t="shared" si="34"/>
        <v>0</v>
      </c>
      <c r="K130" s="116">
        <f t="shared" si="34"/>
        <v>0</v>
      </c>
      <c r="L130" s="116">
        <f t="shared" si="34"/>
        <v>0</v>
      </c>
      <c r="M130" s="116">
        <f t="shared" si="34"/>
        <v>0</v>
      </c>
      <c r="N130" s="116">
        <f t="shared" si="34"/>
        <v>0</v>
      </c>
      <c r="O130" s="116">
        <f t="shared" si="34"/>
        <v>0</v>
      </c>
      <c r="P130" s="116">
        <f t="shared" si="34"/>
        <v>0</v>
      </c>
      <c r="Q130" s="255">
        <f t="shared" si="34"/>
        <v>0</v>
      </c>
    </row>
    <row r="131" spans="1:17" s="158" customFormat="1" ht="30" x14ac:dyDescent="0.25">
      <c r="A131" s="155" t="str">
        <f>+'2024'!A131</f>
        <v>CODIGO</v>
      </c>
      <c r="B131" s="155" t="str">
        <f>+'2024'!B131</f>
        <v>ACCIONES 
(INFINITIVO)</v>
      </c>
      <c r="C131" s="155" t="str">
        <f>+'2024'!C131</f>
        <v>UNIDAD 
DE MEDIDA</v>
      </c>
      <c r="D131" s="155" t="str">
        <f>+'2024'!D131</f>
        <v>INDICADOR 
FÓRMULA</v>
      </c>
      <c r="E131" s="155" t="s">
        <v>395</v>
      </c>
      <c r="F131" s="157" t="s">
        <v>396</v>
      </c>
      <c r="G131" s="161"/>
      <c r="H131" s="163"/>
      <c r="I131" s="162"/>
      <c r="J131" s="162"/>
      <c r="K131" s="162"/>
      <c r="L131" s="162"/>
      <c r="M131" s="162"/>
      <c r="N131" s="162"/>
      <c r="O131" s="159"/>
      <c r="P131" s="159"/>
      <c r="Q131" s="160"/>
    </row>
    <row r="132" spans="1:17" ht="60.75" customHeight="1" x14ac:dyDescent="0.25">
      <c r="A132" s="73" t="str">
        <f>+'2024'!A132</f>
        <v>3.2.2.1</v>
      </c>
      <c r="B132" s="73" t="str">
        <f>+'2024'!B132</f>
        <v>Fortalecer los procesos y escenarios de participación ciudadana para garantizar el derecho a la participación, el acceso a la Justicia Ambiental, y el acceso a la información para la incidencia en las decisiones ambientales del territorio (ACUERDO DE ESCAZÚ).</v>
      </c>
      <c r="C132" s="73" t="str">
        <f>+'2024'!C132</f>
        <v>Número</v>
      </c>
      <c r="D132" s="73" t="str">
        <f>+'2024'!D132</f>
        <v># subregiones acompañadas</v>
      </c>
      <c r="E132" s="146">
        <v>6</v>
      </c>
      <c r="F132" s="46">
        <f>SUM(G132:R132)</f>
        <v>872000000</v>
      </c>
      <c r="G132" s="152"/>
      <c r="H132" s="78">
        <v>507000000</v>
      </c>
      <c r="I132" s="78">
        <v>365000000</v>
      </c>
      <c r="J132" s="78"/>
      <c r="K132" s="78"/>
      <c r="L132" s="78"/>
      <c r="M132" s="78"/>
      <c r="N132" s="78"/>
      <c r="O132" s="79"/>
      <c r="P132" s="79"/>
      <c r="Q132" s="39"/>
    </row>
    <row r="133" spans="1:17" ht="76.5" customHeight="1" x14ac:dyDescent="0.25">
      <c r="A133" s="73" t="str">
        <f>+'2024'!A133</f>
        <v>3.2.2.2</v>
      </c>
      <c r="B133" s="73" t="str">
        <f>+'2024'!B133</f>
        <v>Acompañar a las instancias de veeduría ciudadana e implementar estrategias en torno a mecanismos de control social para el mejoramiento de la gestión pública</v>
      </c>
      <c r="C133" s="73" t="str">
        <f>+'2024'!C133</f>
        <v>Número</v>
      </c>
      <c r="D133" s="73" t="str">
        <f>+'2024'!D133</f>
        <v># de veedurías acompañadas y estrategias implementadas</v>
      </c>
      <c r="E133" s="145">
        <v>2</v>
      </c>
      <c r="F133" s="46">
        <f>SUM(G133:R133)</f>
        <v>120000000</v>
      </c>
      <c r="G133" s="152"/>
      <c r="H133" s="78">
        <v>120000000</v>
      </c>
      <c r="I133" s="78"/>
      <c r="J133" s="78"/>
      <c r="K133" s="78"/>
      <c r="L133" s="78"/>
      <c r="M133" s="78"/>
      <c r="N133" s="78"/>
      <c r="O133" s="79"/>
      <c r="P133" s="79"/>
      <c r="Q133" s="39"/>
    </row>
    <row r="134" spans="1:17" ht="60" x14ac:dyDescent="0.25">
      <c r="A134" s="73" t="str">
        <f>+'2024'!A134</f>
        <v>3.2.2.3</v>
      </c>
      <c r="B134" s="73" t="str">
        <f>+'2024'!B134</f>
        <v>Implementar estrategias de diálogo y concertación intersectorial y multisectorial para el manejo de los conflictos socioambientales priorizados</v>
      </c>
      <c r="C134" s="73" t="str">
        <f>+'2024'!C134</f>
        <v>Número</v>
      </c>
      <c r="D134" s="73" t="str">
        <f>+'2024'!D134</f>
        <v># de estrategias de dialogo y concertación implementadas</v>
      </c>
      <c r="E134" s="145">
        <v>1</v>
      </c>
      <c r="F134" s="46">
        <f>SUM(G134:R134)</f>
        <v>200000000</v>
      </c>
      <c r="G134" s="152"/>
      <c r="H134" s="78">
        <v>200000000</v>
      </c>
      <c r="I134" s="78"/>
      <c r="J134" s="78"/>
      <c r="K134" s="78"/>
      <c r="L134" s="78"/>
      <c r="M134" s="78"/>
      <c r="N134" s="78"/>
      <c r="O134" s="79"/>
      <c r="P134" s="79"/>
      <c r="Q134" s="39"/>
    </row>
    <row r="135" spans="1:17" s="62" customFormat="1" ht="15" x14ac:dyDescent="0.25">
      <c r="A135" s="281" t="str">
        <f>+'2024'!A135</f>
        <v>PROYECTO 3.2.3</v>
      </c>
      <c r="B135" s="281" t="str">
        <f>+'2024'!B135</f>
        <v>Acciones ambientales diferenciales</v>
      </c>
      <c r="C135" s="283" t="str">
        <f>+'2024'!C135</f>
        <v>CÓDIGO DNP</v>
      </c>
      <c r="D135" s="281">
        <f>+'2024'!D135</f>
        <v>3208</v>
      </c>
      <c r="E135" s="63"/>
      <c r="F135" s="92">
        <f>SUM(G135:R135)</f>
        <v>1540000000</v>
      </c>
      <c r="G135" s="116">
        <f>SUM(G137:G139)</f>
        <v>0</v>
      </c>
      <c r="H135" s="116">
        <f t="shared" ref="H135:Q135" si="35">SUM(H137:H139)</f>
        <v>640000000</v>
      </c>
      <c r="I135" s="116">
        <f t="shared" si="35"/>
        <v>400000000</v>
      </c>
      <c r="J135" s="116">
        <f t="shared" si="35"/>
        <v>0</v>
      </c>
      <c r="K135" s="116">
        <f t="shared" si="35"/>
        <v>0</v>
      </c>
      <c r="L135" s="116">
        <f t="shared" si="35"/>
        <v>500000000</v>
      </c>
      <c r="M135" s="116">
        <f t="shared" si="35"/>
        <v>0</v>
      </c>
      <c r="N135" s="116">
        <f t="shared" si="35"/>
        <v>0</v>
      </c>
      <c r="O135" s="116">
        <f t="shared" si="35"/>
        <v>0</v>
      </c>
      <c r="P135" s="116">
        <f t="shared" si="35"/>
        <v>0</v>
      </c>
      <c r="Q135" s="64">
        <f t="shared" si="35"/>
        <v>0</v>
      </c>
    </row>
    <row r="136" spans="1:17" s="158" customFormat="1" ht="30" x14ac:dyDescent="0.25">
      <c r="A136" s="155" t="str">
        <f>+'2024'!A136</f>
        <v>CODIGO</v>
      </c>
      <c r="B136" s="155" t="str">
        <f>+'2024'!B136</f>
        <v>ACCIONES 
(INFINITIVO)</v>
      </c>
      <c r="C136" s="155" t="str">
        <f>+'2024'!C136</f>
        <v>UNIDAD 
DE MEDIDA</v>
      </c>
      <c r="D136" s="155" t="str">
        <f>+'2024'!D136</f>
        <v>INDICADOR 
FÓRMULA</v>
      </c>
      <c r="E136" s="155" t="s">
        <v>395</v>
      </c>
      <c r="F136" s="157" t="s">
        <v>396</v>
      </c>
      <c r="G136" s="161"/>
      <c r="H136" s="163"/>
      <c r="I136" s="162"/>
      <c r="J136" s="162"/>
      <c r="K136" s="162"/>
      <c r="L136" s="162"/>
      <c r="M136" s="162"/>
      <c r="N136" s="162"/>
      <c r="O136" s="159"/>
      <c r="P136" s="159"/>
      <c r="Q136" s="160"/>
    </row>
    <row r="137" spans="1:17" ht="45" x14ac:dyDescent="0.25">
      <c r="A137" s="73" t="str">
        <f>+'2024'!A137</f>
        <v>3.2.3.1</v>
      </c>
      <c r="B137" s="73" t="str">
        <f>+'2024'!B137</f>
        <v xml:space="preserve">Ejecutar acciones priorizadas en la agenda ambiental Indígena, los acuerdos de consulta previa y los compromisos de sentencias </v>
      </c>
      <c r="C137" s="73" t="str">
        <f>+'2024'!C137</f>
        <v>Porcentaje</v>
      </c>
      <c r="D137" s="73" t="str">
        <f>+'2024'!D137</f>
        <v>% de ejecución agenda concertada</v>
      </c>
      <c r="E137" s="75">
        <v>100</v>
      </c>
      <c r="F137" s="46">
        <f>SUM(G137:R137)</f>
        <v>940000000</v>
      </c>
      <c r="G137" s="74"/>
      <c r="H137" s="78">
        <v>240000000</v>
      </c>
      <c r="I137" s="78">
        <v>300000000</v>
      </c>
      <c r="J137" s="78"/>
      <c r="K137" s="78"/>
      <c r="L137" s="78">
        <v>400000000</v>
      </c>
      <c r="M137" s="78"/>
      <c r="N137" s="78"/>
      <c r="O137" s="79"/>
      <c r="P137" s="79"/>
      <c r="Q137" s="39"/>
    </row>
    <row r="138" spans="1:17" ht="49.5" customHeight="1" x14ac:dyDescent="0.25">
      <c r="A138" s="73" t="str">
        <f>+'2024'!A138</f>
        <v>3.2.3.2</v>
      </c>
      <c r="B138" s="73" t="str">
        <f>+'2024'!B138</f>
        <v>Ejecutar acciones priorizadas en la agenda ambiental NARP</v>
      </c>
      <c r="C138" s="73" t="str">
        <f>+'2024'!C138</f>
        <v>Porcentaje</v>
      </c>
      <c r="D138" s="73" t="str">
        <f>+'2024'!D138</f>
        <v>% de ejecución agenda concertada</v>
      </c>
      <c r="E138" s="75">
        <v>100</v>
      </c>
      <c r="F138" s="46">
        <f>SUM(G138:R138)</f>
        <v>400000000</v>
      </c>
      <c r="G138" s="74"/>
      <c r="H138" s="78">
        <v>200000000</v>
      </c>
      <c r="I138" s="78">
        <v>100000000</v>
      </c>
      <c r="J138" s="78"/>
      <c r="K138" s="78"/>
      <c r="L138" s="78">
        <v>100000000</v>
      </c>
      <c r="M138" s="78"/>
      <c r="N138" s="78"/>
      <c r="O138" s="79"/>
      <c r="P138" s="79"/>
      <c r="Q138" s="39"/>
    </row>
    <row r="139" spans="1:17" ht="54" customHeight="1" x14ac:dyDescent="0.25">
      <c r="A139" s="73" t="str">
        <f>+'2024'!A139</f>
        <v>3.2.3.3</v>
      </c>
      <c r="B139" s="73" t="str">
        <f>+'2024'!B139</f>
        <v>Acompañar e implementar procesos para la formulación de planes, programas y acciones con enfoque de género y diferencial.</v>
      </c>
      <c r="C139" s="73" t="str">
        <f>+'2024'!C139</f>
        <v>Número</v>
      </c>
      <c r="D139" s="73" t="str">
        <f>+'2024'!D139</f>
        <v># de procesos acompañados con enfoque de género y diferencial (Personas con discapacidad)</v>
      </c>
      <c r="E139" s="111">
        <v>2</v>
      </c>
      <c r="F139" s="46">
        <f>SUM(G139:R139)</f>
        <v>200000000</v>
      </c>
      <c r="G139" s="152"/>
      <c r="H139" s="78">
        <v>200000000</v>
      </c>
      <c r="I139" s="78"/>
      <c r="J139" s="78"/>
      <c r="K139" s="78"/>
      <c r="L139" s="78"/>
      <c r="M139" s="78"/>
      <c r="N139" s="78"/>
      <c r="O139" s="79"/>
      <c r="P139" s="79"/>
      <c r="Q139" s="39"/>
    </row>
  </sheetData>
  <mergeCells count="10">
    <mergeCell ref="C122:D122"/>
    <mergeCell ref="C83:D83"/>
    <mergeCell ref="C96:D96"/>
    <mergeCell ref="C65:D65"/>
    <mergeCell ref="C66:D66"/>
    <mergeCell ref="C8:D8"/>
    <mergeCell ref="C97:D97"/>
    <mergeCell ref="C7:D7"/>
    <mergeCell ref="H3:N3"/>
    <mergeCell ref="O3:Q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D3E7-6AF4-446A-834D-217328005EBA}">
  <dimension ref="A1:N140"/>
  <sheetViews>
    <sheetView topLeftCell="A109" workbookViewId="0">
      <selection activeCell="B116" sqref="B116"/>
    </sheetView>
  </sheetViews>
  <sheetFormatPr baseColWidth="10" defaultColWidth="9" defaultRowHeight="15.75" x14ac:dyDescent="0.25"/>
  <cols>
    <col min="1" max="1" width="12.125" style="223" bestFit="1" customWidth="1"/>
    <col min="2" max="2" width="55.125" style="224" customWidth="1"/>
    <col min="3" max="3" width="15.5" style="224" customWidth="1"/>
    <col min="4" max="4" width="22.25" style="224" customWidth="1"/>
    <col min="5" max="5" width="16.875" style="223" customWidth="1"/>
    <col min="6" max="6" width="24.375" style="225" customWidth="1"/>
    <col min="7" max="7" width="14.125" style="223" bestFit="1" customWidth="1"/>
    <col min="8" max="8" width="19.625" style="225" customWidth="1"/>
    <col min="9" max="9" width="14.125" style="223" bestFit="1" customWidth="1"/>
    <col min="10" max="10" width="17.375" style="225" bestFit="1" customWidth="1"/>
    <col min="11" max="11" width="13.625" style="223" bestFit="1" customWidth="1"/>
    <col min="12" max="12" width="23.875" style="225" bestFit="1" customWidth="1"/>
    <col min="13" max="13" width="11.75" style="225" customWidth="1"/>
    <col min="14" max="14" width="18.125" style="223" customWidth="1"/>
    <col min="15" max="16384" width="9" style="223"/>
  </cols>
  <sheetData>
    <row r="1" spans="1:14" x14ac:dyDescent="0.25">
      <c r="N1" s="225"/>
    </row>
    <row r="2" spans="1:14" x14ac:dyDescent="0.25">
      <c r="N2" s="225"/>
    </row>
    <row r="3" spans="1:14" x14ac:dyDescent="0.25">
      <c r="E3" s="223" t="s">
        <v>397</v>
      </c>
      <c r="F3" s="225">
        <f>+'2024'!F5</f>
        <v>20043722265</v>
      </c>
      <c r="H3" s="225">
        <f>+'2025'!F5</f>
        <v>26722111000</v>
      </c>
      <c r="J3" s="225">
        <f>+'2026'!F5</f>
        <v>28506711000</v>
      </c>
      <c r="L3" s="225">
        <f>+'2027'!F5</f>
        <v>30047111000</v>
      </c>
      <c r="N3" s="225"/>
    </row>
    <row r="4" spans="1:14" x14ac:dyDescent="0.25">
      <c r="E4" s="223" t="s">
        <v>398</v>
      </c>
      <c r="F4" s="225">
        <f>+F3-F5</f>
        <v>0</v>
      </c>
      <c r="H4" s="225">
        <f>+H3-H5</f>
        <v>0</v>
      </c>
      <c r="J4" s="225">
        <f>+J3-J5</f>
        <v>0</v>
      </c>
      <c r="L4" s="225">
        <f>+L3-L5</f>
        <v>0</v>
      </c>
      <c r="N4" s="225"/>
    </row>
    <row r="5" spans="1:14" x14ac:dyDescent="0.25">
      <c r="E5" s="223" t="s">
        <v>399</v>
      </c>
      <c r="F5" s="235">
        <f>+F7+F65+F96</f>
        <v>20043722265</v>
      </c>
      <c r="G5" s="236"/>
      <c r="H5" s="235">
        <f>+H7+H65+H96</f>
        <v>26722111000</v>
      </c>
      <c r="I5" s="236"/>
      <c r="J5" s="235">
        <f>+J7+J65+J96</f>
        <v>28506711000</v>
      </c>
      <c r="K5" s="236"/>
      <c r="L5" s="235">
        <f>+L7+L65+L96</f>
        <v>30047111000</v>
      </c>
      <c r="M5" s="235"/>
      <c r="N5" s="235"/>
    </row>
    <row r="6" spans="1:14" x14ac:dyDescent="0.25">
      <c r="N6" s="225"/>
    </row>
    <row r="7" spans="1:14" x14ac:dyDescent="0.25">
      <c r="A7" s="16" t="str">
        <f>+'2024'!A7</f>
        <v>PILAR 1</v>
      </c>
      <c r="B7" s="220" t="str">
        <f>+'2024'!B7</f>
        <v>BIOTERRITORIO SOSTENIBLE</v>
      </c>
      <c r="C7" s="357"/>
      <c r="D7" s="357"/>
      <c r="E7" s="357"/>
      <c r="F7" s="226">
        <f>+'2024'!F7</f>
        <v>11216596699</v>
      </c>
      <c r="G7" s="227"/>
      <c r="H7" s="226">
        <f>+'2025'!F7</f>
        <v>12397900000</v>
      </c>
      <c r="I7" s="227"/>
      <c r="J7" s="226">
        <f>+'2026'!F7</f>
        <v>13903200000</v>
      </c>
      <c r="K7" s="227"/>
      <c r="L7" s="295">
        <f>+'2027'!F7</f>
        <v>14233520000</v>
      </c>
      <c r="M7" s="226"/>
      <c r="N7" s="226">
        <f>+F7+H7+J7+L7</f>
        <v>51751216699</v>
      </c>
    </row>
    <row r="8" spans="1:14" x14ac:dyDescent="0.25">
      <c r="A8" s="18" t="str">
        <f>+'2024'!A8</f>
        <v>PROGRAMA 1.1</v>
      </c>
      <c r="B8" s="221" t="str">
        <f>+'2024'!B8</f>
        <v>BIODIVERSIDAD Y SERVICIOS ECOSITÉMICOS</v>
      </c>
      <c r="C8" s="356"/>
      <c r="D8" s="356"/>
      <c r="E8" s="356"/>
      <c r="F8" s="228">
        <f>+'2024'!F8</f>
        <v>10851911299</v>
      </c>
      <c r="G8" s="229"/>
      <c r="H8" s="228">
        <f>+'2025'!F8</f>
        <v>9564900000</v>
      </c>
      <c r="I8" s="229"/>
      <c r="J8" s="228">
        <f>+'2026'!F8</f>
        <v>10696700000</v>
      </c>
      <c r="K8" s="229"/>
      <c r="L8" s="296">
        <f>+'2027'!F8</f>
        <v>11249520000</v>
      </c>
      <c r="M8" s="228"/>
      <c r="N8" s="228">
        <f t="shared" ref="N8:N71" si="0">+F8+H8+J8+L8</f>
        <v>42363031299</v>
      </c>
    </row>
    <row r="9" spans="1:14" x14ac:dyDescent="0.25">
      <c r="A9" s="21" t="str">
        <f>+'2024'!A9</f>
        <v>PROYECTO 1.1.1</v>
      </c>
      <c r="B9" s="22" t="str">
        <f>+'2024'!B9</f>
        <v xml:space="preserve">Acciones para la conservación de la  biodiversidad y sus servicios ecosistémicos  </v>
      </c>
      <c r="C9" s="22" t="str">
        <f>+'2024'!C9</f>
        <v>CÓDIGO DNP</v>
      </c>
      <c r="D9" s="222">
        <f>+'2024'!D9</f>
        <v>3202</v>
      </c>
      <c r="E9" s="23"/>
      <c r="F9" s="230">
        <f>+'2024'!F9</f>
        <v>7647911299</v>
      </c>
      <c r="G9" s="231"/>
      <c r="H9" s="230">
        <f>+'2025'!F9</f>
        <v>6094900000</v>
      </c>
      <c r="I9" s="231"/>
      <c r="J9" s="230">
        <f>+'2026'!F9</f>
        <v>6478700000</v>
      </c>
      <c r="K9" s="231"/>
      <c r="L9" s="297">
        <f>+'2027'!F9</f>
        <v>6942300000</v>
      </c>
      <c r="M9" s="230"/>
      <c r="N9" s="230">
        <f t="shared" si="0"/>
        <v>27163811299</v>
      </c>
    </row>
    <row r="10" spans="1:14" ht="25.5" x14ac:dyDescent="0.25">
      <c r="A10" s="24" t="str">
        <f>+'2024'!A10</f>
        <v>CODIGO</v>
      </c>
      <c r="B10" s="25" t="str">
        <f>+'2024'!B10</f>
        <v>ACCIONES 
(INFINITIVO)</v>
      </c>
      <c r="C10" s="25" t="str">
        <f>+'2024'!C10</f>
        <v>UNIDAD 
DE MEDIDA</v>
      </c>
      <c r="D10" s="25" t="str">
        <f>+'2024'!D10</f>
        <v>INDICADOR 
FÓRMULA</v>
      </c>
      <c r="E10" s="25" t="str">
        <f>+'2024'!E10</f>
        <v>Cantidad (2024)</v>
      </c>
      <c r="F10" s="25" t="str">
        <f>+'2024'!F10</f>
        <v>Inversión $ (2024)
 Asignado</v>
      </c>
      <c r="G10" s="25" t="str">
        <f>+'2025'!E10</f>
        <v>Cantidad (2025)</v>
      </c>
      <c r="H10" s="25" t="str">
        <f>+'2025'!F10</f>
        <v>Inversión $ (2025) 
Asignado</v>
      </c>
      <c r="I10" s="25" t="str">
        <f>+'2026'!E10</f>
        <v>Cantidad (2026)</v>
      </c>
      <c r="J10" s="25" t="str">
        <f>+'2026'!F10</f>
        <v>Inversión $ (2026) Asignado</v>
      </c>
      <c r="K10" s="25" t="str">
        <f>+'2027'!E10</f>
        <v>Cantidad(2027)</v>
      </c>
      <c r="L10" s="298" t="str">
        <f>+'2027'!F10</f>
        <v>Inversión $(2027)  
Asignado</v>
      </c>
      <c r="M10" s="308" t="s">
        <v>400</v>
      </c>
      <c r="N10" s="309" t="s">
        <v>401</v>
      </c>
    </row>
    <row r="11" spans="1:14" ht="85.5" customHeight="1" x14ac:dyDescent="0.25">
      <c r="A11" s="232" t="str">
        <f>+'2024'!A11</f>
        <v>1.1.1.1</v>
      </c>
      <c r="B11" s="233" t="str">
        <f>+'2024'!B11</f>
        <v xml:space="preserve">Restaurar áreas de especial importancia ambiental para la conservación de la biodiversidad y sus servicios ecosistemicos </v>
      </c>
      <c r="C11" s="233" t="str">
        <f>+'2024'!C11</f>
        <v>Número</v>
      </c>
      <c r="D11" s="233" t="str">
        <f>+'2024'!D11</f>
        <v># de Hectareas de áreas de ecosistemas en restauración, rehabilitación y reforestación</v>
      </c>
      <c r="E11" s="232">
        <f>+'2024'!E11</f>
        <v>94</v>
      </c>
      <c r="F11" s="234">
        <f>+'2024'!F11</f>
        <v>1517721121</v>
      </c>
      <c r="G11" s="232">
        <f>+'2025'!E11</f>
        <v>51</v>
      </c>
      <c r="H11" s="234">
        <f>+'2025'!F11</f>
        <v>828000000</v>
      </c>
      <c r="I11" s="232">
        <f>+'2026'!E11</f>
        <v>55</v>
      </c>
      <c r="J11" s="234">
        <f>+'2026'!F11</f>
        <v>891900000</v>
      </c>
      <c r="K11" s="232">
        <f>+'2027'!E11</f>
        <v>52</v>
      </c>
      <c r="L11" s="299">
        <f>+'2027'!F11</f>
        <v>845900000</v>
      </c>
      <c r="M11" s="307">
        <f>E11+G11+I11+K11</f>
        <v>252</v>
      </c>
      <c r="N11" s="234">
        <f t="shared" si="0"/>
        <v>4083521121</v>
      </c>
    </row>
    <row r="12" spans="1:14" ht="43.5" customHeight="1" x14ac:dyDescent="0.25">
      <c r="A12" s="232" t="str">
        <f>+'2024'!A12</f>
        <v>1.1.1.2</v>
      </c>
      <c r="B12" s="233" t="str">
        <f>+'2024'!B12</f>
        <v>Implementar planes de manejo para prevenir, controlar y manejar especies invasoras de flora</v>
      </c>
      <c r="C12" s="233" t="str">
        <f>+'2024'!C12</f>
        <v>Número</v>
      </c>
      <c r="D12" s="233" t="str">
        <f>+'2024'!D12</f>
        <v xml:space="preserve"># de planes de manejo </v>
      </c>
      <c r="E12" s="232">
        <f>+'2024'!E12</f>
        <v>0</v>
      </c>
      <c r="F12" s="234">
        <f>+'2024'!F12</f>
        <v>0</v>
      </c>
      <c r="G12" s="232">
        <f>+'2025'!E12</f>
        <v>1</v>
      </c>
      <c r="H12" s="234">
        <f>+'2025'!F12</f>
        <v>75000000</v>
      </c>
      <c r="I12" s="232">
        <f>+'2026'!E12</f>
        <v>1</v>
      </c>
      <c r="J12" s="234">
        <f>+'2026'!F12</f>
        <v>80000000</v>
      </c>
      <c r="K12" s="232">
        <f>+'2027'!E12</f>
        <v>1</v>
      </c>
      <c r="L12" s="299">
        <f>+'2027'!F12</f>
        <v>110000000</v>
      </c>
      <c r="M12" s="307">
        <f t="shared" ref="M12:M20" si="1">E12+G12+I12+K12</f>
        <v>3</v>
      </c>
      <c r="N12" s="234">
        <f t="shared" si="0"/>
        <v>265000000</v>
      </c>
    </row>
    <row r="13" spans="1:14" ht="36.75" customHeight="1" x14ac:dyDescent="0.25">
      <c r="A13" s="232" t="str">
        <f>+'2024'!A13</f>
        <v>1.1.1.3</v>
      </c>
      <c r="B13" s="233" t="str">
        <f>+'2024'!B13</f>
        <v xml:space="preserve">Asegurar la operatividad de los CAV de Flora </v>
      </c>
      <c r="C13" s="233" t="str">
        <f>+'2024'!C13</f>
        <v>Número</v>
      </c>
      <c r="D13" s="233" t="str">
        <f>+'2024'!D13</f>
        <v># de CAV</v>
      </c>
      <c r="E13" s="232">
        <f>+'2024'!E13</f>
        <v>1</v>
      </c>
      <c r="F13" s="234">
        <f>+'2024'!F13</f>
        <v>84000000</v>
      </c>
      <c r="G13" s="232">
        <f>+'2025'!E13</f>
        <v>1</v>
      </c>
      <c r="H13" s="234">
        <f>+'2025'!F13</f>
        <v>175000000</v>
      </c>
      <c r="I13" s="232">
        <f>+'2026'!E13</f>
        <v>1</v>
      </c>
      <c r="J13" s="234">
        <f>+'2026'!F13</f>
        <v>180000000</v>
      </c>
      <c r="K13" s="232">
        <f>+'2027'!E13</f>
        <v>1</v>
      </c>
      <c r="L13" s="299">
        <f>+'2027'!F13</f>
        <v>220000000</v>
      </c>
      <c r="M13" s="307">
        <v>1</v>
      </c>
      <c r="N13" s="234">
        <f t="shared" si="0"/>
        <v>659000000</v>
      </c>
    </row>
    <row r="14" spans="1:14" ht="35.25" customHeight="1" x14ac:dyDescent="0.25">
      <c r="A14" s="232" t="str">
        <f>+'2024'!A14</f>
        <v>1.1.1.4</v>
      </c>
      <c r="B14" s="233" t="str">
        <f>+'2024'!B14</f>
        <v>Implementar planes de manejo y acciones para la conservación de especies amenazadas de flora</v>
      </c>
      <c r="C14" s="233" t="str">
        <f>+'2024'!C14</f>
        <v>Número</v>
      </c>
      <c r="D14" s="233" t="str">
        <f>+'2024'!D14</f>
        <v xml:space="preserve"># de planes de manejo </v>
      </c>
      <c r="E14" s="232">
        <f>+'2024'!E14</f>
        <v>0</v>
      </c>
      <c r="F14" s="234">
        <f>+'2024'!F14</f>
        <v>0</v>
      </c>
      <c r="G14" s="232">
        <f>+'2025'!E14</f>
        <v>1</v>
      </c>
      <c r="H14" s="234">
        <f>+'2025'!F14</f>
        <v>75000000</v>
      </c>
      <c r="I14" s="232">
        <f>+'2026'!E14</f>
        <v>0</v>
      </c>
      <c r="J14" s="234">
        <f>+'2026'!F14</f>
        <v>0</v>
      </c>
      <c r="K14" s="232">
        <f>+'2027'!E14</f>
        <v>1</v>
      </c>
      <c r="L14" s="299">
        <f>+'2027'!F14</f>
        <v>100000000</v>
      </c>
      <c r="M14" s="307">
        <f t="shared" si="1"/>
        <v>2</v>
      </c>
      <c r="N14" s="234">
        <f t="shared" si="0"/>
        <v>175000000</v>
      </c>
    </row>
    <row r="15" spans="1:14" ht="31.5" x14ac:dyDescent="0.25">
      <c r="A15" s="232" t="str">
        <f>+'2024'!A15</f>
        <v>1.1.1.5</v>
      </c>
      <c r="B15" s="233" t="str">
        <f>+'2024'!B15</f>
        <v xml:space="preserve">Implementar proyecto de desarrollo forestal sostenible </v>
      </c>
      <c r="C15" s="233" t="str">
        <f>+'2024'!C15</f>
        <v>Número</v>
      </c>
      <c r="D15" s="233" t="str">
        <f>+'2024'!D15</f>
        <v>#proyecto de desarrollo forestal sostenible</v>
      </c>
      <c r="E15" s="232">
        <f>+'2024'!E15</f>
        <v>0</v>
      </c>
      <c r="F15" s="234">
        <f>+'2024'!F15</f>
        <v>0</v>
      </c>
      <c r="G15" s="232">
        <f>+'2025'!E15</f>
        <v>1</v>
      </c>
      <c r="H15" s="234">
        <f>+'2025'!F15</f>
        <v>70000000</v>
      </c>
      <c r="I15" s="232">
        <f>+'2026'!E15</f>
        <v>1</v>
      </c>
      <c r="J15" s="234">
        <f>+'2026'!F15</f>
        <v>100000000</v>
      </c>
      <c r="K15" s="232">
        <f>+'2027'!E15</f>
        <v>1</v>
      </c>
      <c r="L15" s="299">
        <f>+'2027'!F15</f>
        <v>100000000</v>
      </c>
      <c r="M15" s="307">
        <v>1</v>
      </c>
      <c r="N15" s="234">
        <f t="shared" si="0"/>
        <v>270000000</v>
      </c>
    </row>
    <row r="16" spans="1:14" ht="47.25" x14ac:dyDescent="0.25">
      <c r="A16" s="232" t="str">
        <f>+'2024'!A16</f>
        <v>1.1.1.6</v>
      </c>
      <c r="B16" s="233" t="str">
        <f>+'2024'!B16</f>
        <v xml:space="preserve">Implementar estrátegias de incentivos para la conservación de la biodiversidad y sus servicios ecosistémicos </v>
      </c>
      <c r="C16" s="233" t="str">
        <f>+'2024'!C16</f>
        <v>Número</v>
      </c>
      <c r="D16" s="233" t="str">
        <f>+'2024'!D16</f>
        <v># de estrategias de pagos por servicios ambientales implementadas</v>
      </c>
      <c r="E16" s="232">
        <f>+'2024'!E16</f>
        <v>1</v>
      </c>
      <c r="F16" s="234">
        <f>+'2024'!F16</f>
        <v>79854007</v>
      </c>
      <c r="G16" s="232">
        <f>+'2025'!E16</f>
        <v>1</v>
      </c>
      <c r="H16" s="234">
        <f>+'2025'!F16</f>
        <v>50000000</v>
      </c>
      <c r="I16" s="232">
        <f>+'2026'!E16</f>
        <v>1</v>
      </c>
      <c r="J16" s="234">
        <f>+'2026'!F16</f>
        <v>120000000</v>
      </c>
      <c r="K16" s="232">
        <f>+'2027'!E16</f>
        <v>1</v>
      </c>
      <c r="L16" s="299">
        <f>+'2027'!F16</f>
        <v>120000000</v>
      </c>
      <c r="M16" s="307">
        <v>1</v>
      </c>
      <c r="N16" s="234">
        <f t="shared" si="0"/>
        <v>369854007</v>
      </c>
    </row>
    <row r="17" spans="1:14" ht="31.5" x14ac:dyDescent="0.25">
      <c r="A17" s="232" t="str">
        <f>+'2024'!A17</f>
        <v>1.1.1.7</v>
      </c>
      <c r="B17" s="233" t="str">
        <f>+'2024'!B17</f>
        <v>Prevenir y controlar la contaminación hídrica (saneamiento básico rural)</v>
      </c>
      <c r="C17" s="233" t="str">
        <f>+'2024'!C17</f>
        <v>Número</v>
      </c>
      <c r="D17" s="233" t="str">
        <f>+'2024'!D17</f>
        <v xml:space="preserve"># de unidades de saneamiento básico rural </v>
      </c>
      <c r="E17" s="232">
        <f>+'2024'!E17</f>
        <v>100</v>
      </c>
      <c r="F17" s="234">
        <f>+'2024'!F17</f>
        <v>623190377</v>
      </c>
      <c r="G17" s="232">
        <f>+'2025'!E17</f>
        <v>110</v>
      </c>
      <c r="H17" s="234">
        <f>+'2025'!F17</f>
        <v>742456000</v>
      </c>
      <c r="I17" s="232">
        <f>+'2026'!E17</f>
        <v>115</v>
      </c>
      <c r="J17" s="234">
        <f>+'2026'!F17</f>
        <v>853824400</v>
      </c>
      <c r="K17" s="232">
        <f>+'2027'!E17</f>
        <v>123</v>
      </c>
      <c r="L17" s="299">
        <f>+'2027'!F17</f>
        <v>1004542968</v>
      </c>
      <c r="M17" s="307">
        <f t="shared" si="1"/>
        <v>448</v>
      </c>
      <c r="N17" s="234">
        <f t="shared" si="0"/>
        <v>3224013745</v>
      </c>
    </row>
    <row r="18" spans="1:14" ht="47.25" x14ac:dyDescent="0.25">
      <c r="A18" s="232" t="str">
        <f>+'2024'!A18</f>
        <v>1.1.1.8</v>
      </c>
      <c r="B18" s="233" t="str">
        <f>+'2024'!B18</f>
        <v>Prevenir y controlar la contaminación hídrica (saneamiento básico urbano)</v>
      </c>
      <c r="C18" s="233" t="str">
        <f>+'2024'!C18</f>
        <v>Número</v>
      </c>
      <c r="D18" s="233" t="str">
        <f>+'2024'!D18</f>
        <v># de municipios con obras  saneamiento básico urbano</v>
      </c>
      <c r="E18" s="232">
        <f>+'2024'!E18</f>
        <v>3</v>
      </c>
      <c r="F18" s="234">
        <f>+'2024'!F18</f>
        <v>4652973008</v>
      </c>
      <c r="G18" s="232">
        <f>+'2025'!E18</f>
        <v>3</v>
      </c>
      <c r="H18" s="234">
        <f>+'2025'!F18</f>
        <v>2987444000</v>
      </c>
      <c r="I18" s="232">
        <f>+'2026'!E18</f>
        <v>3</v>
      </c>
      <c r="J18" s="234">
        <f>+'2026'!F18</f>
        <v>3087975600</v>
      </c>
      <c r="K18" s="232">
        <f>+'2027'!E18</f>
        <v>3</v>
      </c>
      <c r="L18" s="299">
        <f>+'2027'!F18</f>
        <v>3176857032</v>
      </c>
      <c r="M18" s="307">
        <v>3</v>
      </c>
      <c r="N18" s="234">
        <f t="shared" si="0"/>
        <v>13905249640</v>
      </c>
    </row>
    <row r="19" spans="1:14" ht="31.5" x14ac:dyDescent="0.25">
      <c r="A19" s="232" t="str">
        <f>+'2024'!A19</f>
        <v>1.1.1.9</v>
      </c>
      <c r="B19" s="233" t="str">
        <f>+'2024'!B19</f>
        <v xml:space="preserve">Implementar acciones de los planes de manejo de áreas protegidas y ecosistemas estrátegicos </v>
      </c>
      <c r="C19" s="233" t="str">
        <f>+'2024'!C19</f>
        <v>Número</v>
      </c>
      <c r="D19" s="233" t="str">
        <f>+'2024'!D19</f>
        <v># planes de manejo con  acciones implementadas</v>
      </c>
      <c r="E19" s="232">
        <f>+'2024'!E19</f>
        <v>4</v>
      </c>
      <c r="F19" s="234">
        <f>+'2024'!F19</f>
        <v>367141487</v>
      </c>
      <c r="G19" s="232">
        <f>+'2025'!E19</f>
        <v>3</v>
      </c>
      <c r="H19" s="234">
        <f>+'2025'!F19</f>
        <v>300000000</v>
      </c>
      <c r="I19" s="232">
        <f>+'2026'!E19</f>
        <v>3</v>
      </c>
      <c r="J19" s="234">
        <f>+'2026'!F19</f>
        <v>350000000</v>
      </c>
      <c r="K19" s="232">
        <f>+'2027'!E19</f>
        <v>3</v>
      </c>
      <c r="L19" s="299">
        <f>+'2027'!F19</f>
        <v>420000000</v>
      </c>
      <c r="M19" s="307">
        <v>4</v>
      </c>
      <c r="N19" s="234">
        <f t="shared" si="0"/>
        <v>1437141487</v>
      </c>
    </row>
    <row r="20" spans="1:14" ht="63" x14ac:dyDescent="0.25">
      <c r="A20" s="232" t="str">
        <f>+'2024'!A20</f>
        <v>1.1.1.10</v>
      </c>
      <c r="B20" s="233" t="str">
        <f>+'2024'!B20</f>
        <v>Implementar otras estrategias de conservación  y  apoyar la declaratoria de las  Reservas Naturales de la Sociedad Civil</v>
      </c>
      <c r="C20" s="233" t="str">
        <f>+'2024'!C20</f>
        <v>Número</v>
      </c>
      <c r="D20" s="233" t="str">
        <f>+'2024'!D20</f>
        <v># de predios con otras estratégias de conservación implementadas</v>
      </c>
      <c r="E20" s="232">
        <f>+'2024'!E20</f>
        <v>0</v>
      </c>
      <c r="F20" s="234">
        <f>+'2024'!F20</f>
        <v>0</v>
      </c>
      <c r="G20" s="232">
        <f>+'2025'!E20</f>
        <v>5</v>
      </c>
      <c r="H20" s="234">
        <f>+'2025'!F20</f>
        <v>150000000</v>
      </c>
      <c r="I20" s="232">
        <f>+'2026'!E20</f>
        <v>5</v>
      </c>
      <c r="J20" s="234">
        <f>+'2026'!F20</f>
        <v>150000000</v>
      </c>
      <c r="K20" s="232">
        <f>+'2027'!E20</f>
        <v>5</v>
      </c>
      <c r="L20" s="299">
        <f>+'2027'!F20</f>
        <v>160000000</v>
      </c>
      <c r="M20" s="307">
        <f t="shared" si="1"/>
        <v>15</v>
      </c>
      <c r="N20" s="234">
        <f t="shared" si="0"/>
        <v>460000000</v>
      </c>
    </row>
    <row r="21" spans="1:14" ht="31.5" x14ac:dyDescent="0.25">
      <c r="A21" s="232" t="str">
        <f>+'2024'!A21</f>
        <v>1.1.1.11</v>
      </c>
      <c r="B21" s="233" t="str">
        <f>+'2024'!B21</f>
        <v xml:space="preserve">Apoyar proyectos de uso sostenible de la biodiversidad y sus servicios ecosistemicos </v>
      </c>
      <c r="C21" s="233" t="str">
        <f>+'2024'!C21</f>
        <v>Número</v>
      </c>
      <c r="D21" s="233" t="str">
        <f>+'2024'!D21</f>
        <v># de proyectos apoyados</v>
      </c>
      <c r="E21" s="232">
        <f>+'2024'!E21</f>
        <v>2</v>
      </c>
      <c r="F21" s="234">
        <f>+'2024'!F21</f>
        <v>323031299</v>
      </c>
      <c r="G21" s="232">
        <f>+'2025'!E21</f>
        <v>2</v>
      </c>
      <c r="H21" s="234">
        <f>+'2025'!F21</f>
        <v>280000000</v>
      </c>
      <c r="I21" s="232">
        <f>+'2026'!E21</f>
        <v>3</v>
      </c>
      <c r="J21" s="234">
        <f>+'2026'!F21</f>
        <v>280000000</v>
      </c>
      <c r="K21" s="232">
        <f>+'2027'!E21</f>
        <v>3</v>
      </c>
      <c r="L21" s="299">
        <f>+'2027'!F21</f>
        <v>290000000</v>
      </c>
      <c r="M21" s="307">
        <v>3</v>
      </c>
      <c r="N21" s="234">
        <f t="shared" si="0"/>
        <v>1173031299</v>
      </c>
    </row>
    <row r="22" spans="1:14" ht="47.25" x14ac:dyDescent="0.25">
      <c r="A22" s="232" t="str">
        <f>+'2024'!A22</f>
        <v>1.1.1.12</v>
      </c>
      <c r="B22" s="233" t="str">
        <f>+'2024'!B22</f>
        <v xml:space="preserve">Asesorar a los entes territoriales y otros actores para la conservacion, manejo y uso sostenible de la Biodiversidad y sus servicios ecosistemicos </v>
      </c>
      <c r="C22" s="233" t="str">
        <f>+'2024'!C22</f>
        <v>Número</v>
      </c>
      <c r="D22" s="233" t="str">
        <f>+'2024'!D22</f>
        <v># de municipios asesorados</v>
      </c>
      <c r="E22" s="232">
        <f>+'2024'!E22</f>
        <v>0</v>
      </c>
      <c r="F22" s="234">
        <f>+'2024'!F22</f>
        <v>0</v>
      </c>
      <c r="G22" s="232">
        <f>+'2025'!E22</f>
        <v>27</v>
      </c>
      <c r="H22" s="234">
        <f>+'2025'!F22</f>
        <v>272000000</v>
      </c>
      <c r="I22" s="232">
        <f>+'2026'!E22</f>
        <v>27</v>
      </c>
      <c r="J22" s="234">
        <f>+'2026'!F22</f>
        <v>280000000</v>
      </c>
      <c r="K22" s="232">
        <f>+'2027'!E22</f>
        <v>27</v>
      </c>
      <c r="L22" s="299">
        <f>+'2027'!F22</f>
        <v>290000000</v>
      </c>
      <c r="M22" s="307">
        <v>27</v>
      </c>
      <c r="N22" s="234">
        <f t="shared" si="0"/>
        <v>842000000</v>
      </c>
    </row>
    <row r="23" spans="1:14" ht="63" x14ac:dyDescent="0.25">
      <c r="A23" s="232" t="str">
        <f>+'2024'!A23</f>
        <v>1.1.1.13</v>
      </c>
      <c r="B23" s="233" t="str">
        <f>+'2024'!B23</f>
        <v>Impulsar el desarrollo de sistemas regenerativos de producción agrícola y pecuaria agroecológica, como soporte de la recuperación de la biodiversidad, los suelos y la conectividad funcional.</v>
      </c>
      <c r="C23" s="233" t="str">
        <f>+'2024'!C23</f>
        <v>Número</v>
      </c>
      <c r="D23" s="233" t="str">
        <f>+'2024'!D23</f>
        <v># de iniciativas apoyadas</v>
      </c>
      <c r="E23" s="232">
        <f>+'2024'!E23</f>
        <v>0</v>
      </c>
      <c r="F23" s="234">
        <f>+'2024'!F23</f>
        <v>0</v>
      </c>
      <c r="G23" s="232">
        <f>+'2025'!E23</f>
        <v>6</v>
      </c>
      <c r="H23" s="234">
        <f>+'2025'!F23</f>
        <v>90000000</v>
      </c>
      <c r="I23" s="232">
        <f>+'2026'!E23</f>
        <v>7</v>
      </c>
      <c r="J23" s="234">
        <f>+'2026'!F23</f>
        <v>105000000</v>
      </c>
      <c r="K23" s="232">
        <f>+'2027'!E23</f>
        <v>7</v>
      </c>
      <c r="L23" s="299">
        <f>+'2027'!F23</f>
        <v>105000000</v>
      </c>
      <c r="M23" s="307">
        <v>7</v>
      </c>
      <c r="N23" s="234">
        <f t="shared" si="0"/>
        <v>300000000</v>
      </c>
    </row>
    <row r="24" spans="1:14" ht="25.5" x14ac:dyDescent="0.25">
      <c r="A24" s="21" t="str">
        <f>+'2024'!A24</f>
        <v>PROYECTO 1.1.2</v>
      </c>
      <c r="B24" s="22" t="str">
        <f>+'2024'!B24</f>
        <v xml:space="preserve">Gestion del conocimiento e innovación para la conservación y uso sostenible de la biodiversidad y sus servicios ecosistémicos </v>
      </c>
      <c r="C24" s="22" t="str">
        <f>+'2024'!C24</f>
        <v>CÓDIGO DNP</v>
      </c>
      <c r="D24" s="222">
        <f>+'2024'!D24</f>
        <v>3202</v>
      </c>
      <c r="E24" s="23"/>
      <c r="F24" s="230">
        <f>+'2024'!F24</f>
        <v>2063000000</v>
      </c>
      <c r="G24" s="231"/>
      <c r="H24" s="230">
        <f>+'2025'!F24</f>
        <v>2040000000</v>
      </c>
      <c r="I24" s="231"/>
      <c r="J24" s="230">
        <f>+'2026'!F24</f>
        <v>2580000000</v>
      </c>
      <c r="K24" s="231"/>
      <c r="L24" s="297">
        <f>+'2027'!F24</f>
        <v>2570000000</v>
      </c>
      <c r="M24" s="230"/>
      <c r="N24" s="230">
        <f t="shared" si="0"/>
        <v>9253000000</v>
      </c>
    </row>
    <row r="25" spans="1:14" ht="25.5" x14ac:dyDescent="0.25">
      <c r="A25" s="24" t="str">
        <f>+'2024'!A25</f>
        <v>CODIGO</v>
      </c>
      <c r="B25" s="25" t="str">
        <f>+'2024'!B25</f>
        <v>ACCIONES 
(INFINITIVO)</v>
      </c>
      <c r="C25" s="25" t="str">
        <f>+'2024'!C25</f>
        <v>UNIDAD 
DE MEDIDA</v>
      </c>
      <c r="D25" s="25" t="str">
        <f>+'2024'!D25</f>
        <v>INDICADOR 
FÓRMULA</v>
      </c>
      <c r="E25" s="25" t="str">
        <f>+'2024'!E25</f>
        <v>Cantidad (2024)</v>
      </c>
      <c r="F25" s="25" t="str">
        <f>+'2024'!F25</f>
        <v>Inversión $ (2024)
 Asignado</v>
      </c>
      <c r="G25" s="25" t="str">
        <f>+'2025'!E25</f>
        <v>Cantidad (2025)</v>
      </c>
      <c r="H25" s="25" t="str">
        <f>+'2025'!F25</f>
        <v>Inversión $ (2025) 
Asignado</v>
      </c>
      <c r="I25" s="25" t="str">
        <f>+'2026'!E25</f>
        <v>Cantidad (2026)</v>
      </c>
      <c r="J25" s="25" t="str">
        <f>+'2026'!F25</f>
        <v>Inversión $ (2026) Asignado</v>
      </c>
      <c r="K25" s="25" t="str">
        <f>+'2027'!E25</f>
        <v>Cantidad(2027)</v>
      </c>
      <c r="L25" s="298" t="str">
        <f>+'2027'!F25</f>
        <v>Inversión $(2027)  
Asignado</v>
      </c>
      <c r="M25" s="308" t="s">
        <v>400</v>
      </c>
      <c r="N25" s="309" t="s">
        <v>401</v>
      </c>
    </row>
    <row r="26" spans="1:14" ht="31.5" x14ac:dyDescent="0.25">
      <c r="A26" s="232" t="str">
        <f>+'2024'!A26</f>
        <v>1.1.2.1</v>
      </c>
      <c r="B26" s="233" t="str">
        <f>+'2024'!B26</f>
        <v xml:space="preserve">Realizar análisis de efectividad de áreas protegidas </v>
      </c>
      <c r="C26" s="233" t="str">
        <f>+'2024'!C26</f>
        <v>Número</v>
      </c>
      <c r="D26" s="233" t="str">
        <f>+'2024'!D26</f>
        <v># de AP con análisis de efectividad</v>
      </c>
      <c r="E26" s="232">
        <f>+'2024'!E26</f>
        <v>0</v>
      </c>
      <c r="F26" s="234">
        <f>+'2024'!F26</f>
        <v>0</v>
      </c>
      <c r="G26" s="232">
        <f>+'2025'!E26</f>
        <v>16</v>
      </c>
      <c r="H26" s="234">
        <f>+'2025'!F26</f>
        <v>70000000</v>
      </c>
      <c r="I26" s="232">
        <f>+'2026'!E26</f>
        <v>16</v>
      </c>
      <c r="J26" s="234">
        <f>+'2026'!F26</f>
        <v>80000000</v>
      </c>
      <c r="K26" s="232">
        <f>+'2027'!E26</f>
        <v>16</v>
      </c>
      <c r="L26" s="299">
        <f>+'2027'!F26</f>
        <v>90000000</v>
      </c>
      <c r="M26" s="307">
        <v>16</v>
      </c>
      <c r="N26" s="234">
        <f t="shared" si="0"/>
        <v>240000000</v>
      </c>
    </row>
    <row r="27" spans="1:14" ht="31.5" x14ac:dyDescent="0.25">
      <c r="A27" s="232" t="str">
        <f>+'2024'!A27</f>
        <v>1.1.2.2</v>
      </c>
      <c r="B27" s="233" t="str">
        <f>+'2024'!B27</f>
        <v>Realizar estudios de biodiversidad y servicios ecosistémicos para actualizar la línea base del departamento</v>
      </c>
      <c r="C27" s="233" t="str">
        <f>+'2024'!C27</f>
        <v>Número</v>
      </c>
      <c r="D27" s="233" t="str">
        <f>+'2024'!D27</f>
        <v># de estudios de biodiversidad</v>
      </c>
      <c r="E27" s="232">
        <f>+'2024'!E27</f>
        <v>1</v>
      </c>
      <c r="F27" s="234">
        <f>+'2024'!F27</f>
        <v>933000000</v>
      </c>
      <c r="G27" s="232">
        <f>+'2025'!E27</f>
        <v>1</v>
      </c>
      <c r="H27" s="234">
        <f>+'2025'!F27</f>
        <v>180000000</v>
      </c>
      <c r="I27" s="232">
        <f>+'2026'!E27</f>
        <v>1</v>
      </c>
      <c r="J27" s="234">
        <f>+'2026'!F27</f>
        <v>140000000</v>
      </c>
      <c r="K27" s="232">
        <f>+'2027'!E27</f>
        <v>1</v>
      </c>
      <c r="L27" s="299">
        <f>+'2027'!F27</f>
        <v>150000000</v>
      </c>
      <c r="M27" s="307">
        <f t="shared" ref="M27:M32" si="2">E27+G27+I27+K27</f>
        <v>4</v>
      </c>
      <c r="N27" s="234">
        <f t="shared" si="0"/>
        <v>1403000000</v>
      </c>
    </row>
    <row r="28" spans="1:14" ht="31.5" x14ac:dyDescent="0.25">
      <c r="A28" s="232" t="str">
        <f>+'2024'!A28</f>
        <v>1.1.2.3</v>
      </c>
      <c r="B28" s="233" t="str">
        <f>+'2024'!B28</f>
        <v>Realizar estudios de capacidad de carga turística en áreas ambientales estratégicas para reglamentar el ecoturismo</v>
      </c>
      <c r="C28" s="233" t="str">
        <f>+'2024'!C28</f>
        <v>Número</v>
      </c>
      <c r="D28" s="233" t="str">
        <f>+'2024'!D28</f>
        <v># de estudios de capacidad de carga</v>
      </c>
      <c r="E28" s="232">
        <f>+'2024'!E28</f>
        <v>0</v>
      </c>
      <c r="F28" s="234">
        <f>+'2024'!F28</f>
        <v>0</v>
      </c>
      <c r="G28" s="232">
        <f>+'2025'!E28</f>
        <v>1</v>
      </c>
      <c r="H28" s="234">
        <f>+'2025'!F28</f>
        <v>40000000</v>
      </c>
      <c r="I28" s="232">
        <f>+'2026'!E28</f>
        <v>1</v>
      </c>
      <c r="J28" s="234">
        <f>+'2026'!F28</f>
        <v>50000000</v>
      </c>
      <c r="K28" s="232">
        <f>+'2027'!E28</f>
        <v>0</v>
      </c>
      <c r="L28" s="299">
        <f>+'2027'!F28</f>
        <v>0</v>
      </c>
      <c r="M28" s="307">
        <f t="shared" si="2"/>
        <v>2</v>
      </c>
      <c r="N28" s="234">
        <f t="shared" si="0"/>
        <v>90000000</v>
      </c>
    </row>
    <row r="29" spans="1:14" ht="31.5" x14ac:dyDescent="0.25">
      <c r="A29" s="232" t="str">
        <f>+'2024'!A29</f>
        <v>1.1.2.4</v>
      </c>
      <c r="B29" s="233" t="str">
        <f>+'2024'!B29</f>
        <v>Realizar estudios de calidad de aire</v>
      </c>
      <c r="C29" s="233" t="str">
        <f>+'2024'!C29</f>
        <v>Número</v>
      </c>
      <c r="D29" s="233" t="str">
        <f>+'2024'!D29</f>
        <v># de estudios de calidad de aire</v>
      </c>
      <c r="E29" s="232">
        <f>+'2024'!E29</f>
        <v>0</v>
      </c>
      <c r="F29" s="234">
        <f>+'2024'!F29</f>
        <v>0</v>
      </c>
      <c r="G29" s="232">
        <f>+'2025'!E29</f>
        <v>0</v>
      </c>
      <c r="H29" s="234">
        <f>+'2025'!F29</f>
        <v>0</v>
      </c>
      <c r="I29" s="232">
        <f>+'2026'!E29</f>
        <v>1</v>
      </c>
      <c r="J29" s="234">
        <f>+'2026'!F29</f>
        <v>100000000</v>
      </c>
      <c r="K29" s="232">
        <f>+'2027'!E29</f>
        <v>0</v>
      </c>
      <c r="L29" s="299">
        <f>+'2027'!F29</f>
        <v>0</v>
      </c>
      <c r="M29" s="307">
        <f t="shared" si="2"/>
        <v>1</v>
      </c>
      <c r="N29" s="234">
        <f t="shared" si="0"/>
        <v>100000000</v>
      </c>
    </row>
    <row r="30" spans="1:14" ht="31.5" x14ac:dyDescent="0.25">
      <c r="A30" s="232" t="str">
        <f>+'2024'!A30</f>
        <v>1.1.2.5</v>
      </c>
      <c r="B30" s="233" t="str">
        <f>+'2024'!B30</f>
        <v>Ampliar y garantizar la operación y el mantenimiento de las  redes de monitoreo</v>
      </c>
      <c r="C30" s="233" t="str">
        <f>+'2024'!C30</f>
        <v>Número</v>
      </c>
      <c r="D30" s="233" t="str">
        <f>+'2024'!D30</f>
        <v>Número de redes de monitoreo en operación</v>
      </c>
      <c r="E30" s="232">
        <f>+'2024'!E30</f>
        <v>6</v>
      </c>
      <c r="F30" s="234">
        <f>+'2024'!F30</f>
        <v>1100000000</v>
      </c>
      <c r="G30" s="232">
        <f>+'2025'!E30</f>
        <v>6</v>
      </c>
      <c r="H30" s="234">
        <f>+'2025'!F30</f>
        <v>1500000000</v>
      </c>
      <c r="I30" s="232">
        <f>+'2026'!E30</f>
        <v>6</v>
      </c>
      <c r="J30" s="234">
        <f>+'2026'!F30</f>
        <v>1550000000</v>
      </c>
      <c r="K30" s="232">
        <f>+'2027'!E30</f>
        <v>6</v>
      </c>
      <c r="L30" s="299">
        <f>+'2027'!F30</f>
        <v>1650000000</v>
      </c>
      <c r="M30" s="307">
        <v>6</v>
      </c>
      <c r="N30" s="234">
        <f t="shared" si="0"/>
        <v>5800000000</v>
      </c>
    </row>
    <row r="31" spans="1:14" ht="31.5" x14ac:dyDescent="0.25">
      <c r="A31" s="232" t="str">
        <f>+'2024'!A31</f>
        <v>1.1.2.6</v>
      </c>
      <c r="B31" s="233" t="str">
        <f>+'2024'!B31</f>
        <v>Garantizar el funcionamiento del Sistema Información Ambiental</v>
      </c>
      <c r="C31" s="233" t="str">
        <f>+'2024'!C31</f>
        <v>Número</v>
      </c>
      <c r="D31" s="233" t="str">
        <f>+'2024'!D31</f>
        <v>Sistema de información regional funcionando</v>
      </c>
      <c r="E31" s="232">
        <f>+'2024'!E31</f>
        <v>1</v>
      </c>
      <c r="F31" s="234">
        <f>+'2024'!F31</f>
        <v>30000000</v>
      </c>
      <c r="G31" s="232">
        <f>+'2025'!E31</f>
        <v>1</v>
      </c>
      <c r="H31" s="234">
        <f>+'2025'!F31</f>
        <v>110000000</v>
      </c>
      <c r="I31" s="232">
        <f>+'2026'!E31</f>
        <v>1</v>
      </c>
      <c r="J31" s="234">
        <f>+'2026'!F31</f>
        <v>150000000</v>
      </c>
      <c r="K31" s="232">
        <f>+'2027'!E31</f>
        <v>1</v>
      </c>
      <c r="L31" s="299">
        <f>+'2027'!F31</f>
        <v>230000000</v>
      </c>
      <c r="M31" s="307">
        <v>1</v>
      </c>
      <c r="N31" s="234">
        <f t="shared" si="0"/>
        <v>520000000</v>
      </c>
    </row>
    <row r="32" spans="1:14" ht="47.25" x14ac:dyDescent="0.25">
      <c r="A32" s="232" t="str">
        <f>+'2024'!A32</f>
        <v>1.1.2.7</v>
      </c>
      <c r="B32" s="233" t="str">
        <f>+'2024'!B32</f>
        <v xml:space="preserve">Realizar estudios tendientes a la caracterización de la degradación de suelos </v>
      </c>
      <c r="C32" s="233" t="str">
        <f>+'2024'!C32</f>
        <v xml:space="preserve">Porcentaje </v>
      </c>
      <c r="D32" s="233" t="str">
        <f>+'2024'!D32</f>
        <v xml:space="preserve">% estudios de caracterización de la degradación de suelos </v>
      </c>
      <c r="E32" s="232">
        <f>+'2024'!E32</f>
        <v>0</v>
      </c>
      <c r="F32" s="234">
        <f>+'2024'!F32</f>
        <v>0</v>
      </c>
      <c r="G32" s="232">
        <f>+'2025'!E32</f>
        <v>0</v>
      </c>
      <c r="H32" s="234">
        <f>+'2025'!F32</f>
        <v>0</v>
      </c>
      <c r="I32" s="232">
        <f>+'2026'!E32</f>
        <v>50</v>
      </c>
      <c r="J32" s="234">
        <f>+'2026'!F32</f>
        <v>150000000</v>
      </c>
      <c r="K32" s="232">
        <f>+'2027'!E32</f>
        <v>50</v>
      </c>
      <c r="L32" s="299">
        <f>+'2027'!F32</f>
        <v>150000000</v>
      </c>
      <c r="M32" s="307">
        <f t="shared" si="2"/>
        <v>100</v>
      </c>
      <c r="N32" s="234">
        <f t="shared" si="0"/>
        <v>300000000</v>
      </c>
    </row>
    <row r="33" spans="1:14" ht="44.25" customHeight="1" x14ac:dyDescent="0.25">
      <c r="A33" s="232" t="str">
        <f>+'2024'!A33</f>
        <v>1.1.2.8</v>
      </c>
      <c r="B33" s="233" t="str">
        <f>+'2024'!B33</f>
        <v>Ampliar el conocimiento hidrogeologico de la región centro sur del departamento de Caldas</v>
      </c>
      <c r="C33" s="233" t="str">
        <f>+'2024'!C33</f>
        <v xml:space="preserve">Porcentaje </v>
      </c>
      <c r="D33" s="233" t="str">
        <f>+'2024'!D33</f>
        <v>% de estudios Fases I y II</v>
      </c>
      <c r="E33" s="232">
        <f>+'2024'!E33</f>
        <v>0</v>
      </c>
      <c r="F33" s="234">
        <f>+'2024'!F33</f>
        <v>0</v>
      </c>
      <c r="G33" s="232">
        <f>+'2025'!E33</f>
        <v>0</v>
      </c>
      <c r="H33" s="234">
        <f>+'2025'!F33</f>
        <v>0</v>
      </c>
      <c r="I33" s="232">
        <f>+'2026'!E33</f>
        <v>100</v>
      </c>
      <c r="J33" s="234">
        <f>+'2026'!F33</f>
        <v>180000000</v>
      </c>
      <c r="K33" s="232">
        <f>+'2027'!E33</f>
        <v>100</v>
      </c>
      <c r="L33" s="299">
        <f>+'2027'!F33</f>
        <v>180000000</v>
      </c>
      <c r="M33" s="307">
        <v>100</v>
      </c>
      <c r="N33" s="234">
        <f t="shared" si="0"/>
        <v>360000000</v>
      </c>
    </row>
    <row r="34" spans="1:14" ht="31.5" x14ac:dyDescent="0.25">
      <c r="A34" s="232" t="str">
        <f>+'2024'!A34</f>
        <v>1.1.2.9</v>
      </c>
      <c r="B34" s="233" t="str">
        <f>+'2024'!B34</f>
        <v>Desarrollar programa de monitoreo participativo en torno a la biodiversidad y los servicios ecosistemicos</v>
      </c>
      <c r="C34" s="233" t="str">
        <f>+'2024'!C34</f>
        <v>Número</v>
      </c>
      <c r="D34" s="233" t="str">
        <f>+'2024'!D34</f>
        <v xml:space="preserve"> Programa de Monitoreo Participativo</v>
      </c>
      <c r="E34" s="232">
        <f>+'2024'!E34</f>
        <v>0</v>
      </c>
      <c r="F34" s="234">
        <f>+'2024'!F34</f>
        <v>0</v>
      </c>
      <c r="G34" s="232">
        <f>+'2025'!E34</f>
        <v>1</v>
      </c>
      <c r="H34" s="234">
        <f>+'2025'!F34</f>
        <v>80000000</v>
      </c>
      <c r="I34" s="232">
        <f>+'2026'!E34</f>
        <v>1</v>
      </c>
      <c r="J34" s="234">
        <f>+'2026'!F34</f>
        <v>120000000</v>
      </c>
      <c r="K34" s="232">
        <f>+'2027'!E34</f>
        <v>1</v>
      </c>
      <c r="L34" s="299">
        <f>+'2027'!F34</f>
        <v>120000000</v>
      </c>
      <c r="M34" s="307">
        <v>1</v>
      </c>
      <c r="N34" s="234">
        <f t="shared" si="0"/>
        <v>320000000</v>
      </c>
    </row>
    <row r="35" spans="1:14" ht="80.25" customHeight="1" x14ac:dyDescent="0.25">
      <c r="A35" s="232" t="str">
        <f>+'2024'!A35</f>
        <v>1.1.2.10</v>
      </c>
      <c r="B35" s="233" t="str">
        <f>+'2024'!B35</f>
        <v>Adelantar un estudio de caracterización sobre sistemas locales de cosecha y aprovechamiento de agua lluvia y el potencial de la incorporación de su uso doméstico , comercial e industrial como mecanismo de adaptación al cambio climático y de aporte al ahorro y uso eficiente del recurso hídrico</v>
      </c>
      <c r="C35" s="233" t="str">
        <f>+'2024'!C35</f>
        <v xml:space="preserve">Porcentaje </v>
      </c>
      <c r="D35" s="233" t="str">
        <f>+'2024'!D35</f>
        <v>% de estudio de caracterización de cosecha y aprovechamiento de agua lluvia</v>
      </c>
      <c r="E35" s="232">
        <f>+'2024'!E35</f>
        <v>0</v>
      </c>
      <c r="F35" s="234">
        <f>+'2024'!F35</f>
        <v>0</v>
      </c>
      <c r="G35" s="232">
        <f>+'2025'!E35</f>
        <v>50</v>
      </c>
      <c r="H35" s="234">
        <f>+'2025'!F35</f>
        <v>60000000</v>
      </c>
      <c r="I35" s="232">
        <f>+'2026'!E35</f>
        <v>50</v>
      </c>
      <c r="J35" s="234">
        <f>+'2026'!F35</f>
        <v>60000000</v>
      </c>
      <c r="K35" s="232">
        <f>+'2027'!E35</f>
        <v>0</v>
      </c>
      <c r="L35" s="299">
        <f>+'2027'!F35</f>
        <v>0</v>
      </c>
      <c r="M35" s="307">
        <v>100</v>
      </c>
      <c r="N35" s="234">
        <f t="shared" si="0"/>
        <v>120000000</v>
      </c>
    </row>
    <row r="36" spans="1:14" x14ac:dyDescent="0.25">
      <c r="A36" s="21" t="str">
        <f>+'2024'!A36</f>
        <v>PROYECTO 1.1.3</v>
      </c>
      <c r="B36" s="22" t="str">
        <f>+'2024'!B36</f>
        <v>Conservacion y Manejo de la Fauna Silvestre</v>
      </c>
      <c r="C36" s="22" t="str">
        <f>+'2024'!C36</f>
        <v>CÓDIGO DNP</v>
      </c>
      <c r="D36" s="222">
        <f>+'2024'!D36</f>
        <v>3202</v>
      </c>
      <c r="E36" s="23"/>
      <c r="F36" s="230">
        <f>+'2024'!F36</f>
        <v>1141000000</v>
      </c>
      <c r="G36" s="231"/>
      <c r="H36" s="230">
        <f>+'2025'!F36</f>
        <v>1430000000</v>
      </c>
      <c r="I36" s="231"/>
      <c r="J36" s="230">
        <f>+'2026'!F36</f>
        <v>1638000000</v>
      </c>
      <c r="K36" s="231"/>
      <c r="L36" s="297">
        <f>+'2027'!F36</f>
        <v>1737220000</v>
      </c>
      <c r="M36" s="230"/>
      <c r="N36" s="230">
        <f t="shared" si="0"/>
        <v>5946220000</v>
      </c>
    </row>
    <row r="37" spans="1:14" ht="25.5" x14ac:dyDescent="0.25">
      <c r="A37" s="24" t="str">
        <f>+'2024'!A37</f>
        <v>CODIGO</v>
      </c>
      <c r="B37" s="25" t="str">
        <f>+'2024'!B37</f>
        <v>ACCIONES 
(INFINITIVO)</v>
      </c>
      <c r="C37" s="25" t="str">
        <f>+'2024'!C37</f>
        <v>UNIDAD 
DE MEDIDA</v>
      </c>
      <c r="D37" s="25" t="str">
        <f>+'2024'!D37</f>
        <v>INDICADOR 
FÓRMULA</v>
      </c>
      <c r="E37" s="25" t="str">
        <f>+'2024'!E37</f>
        <v>Cantidad (2024)</v>
      </c>
      <c r="F37" s="25" t="str">
        <f>+'2024'!F37</f>
        <v>Inversión $ (2024)
 Asignado</v>
      </c>
      <c r="G37" s="25" t="str">
        <f>+'2025'!E37</f>
        <v>Cantidad (2025)</v>
      </c>
      <c r="H37" s="25" t="str">
        <f>+'2025'!F37</f>
        <v>Inversión $ (2025) 
Asignado</v>
      </c>
      <c r="I37" s="25" t="str">
        <f>+'2026'!E37</f>
        <v>Cantidad (2026)</v>
      </c>
      <c r="J37" s="25" t="str">
        <f>+'2026'!F37</f>
        <v>Inversión $ (2026) Asignado</v>
      </c>
      <c r="K37" s="25" t="str">
        <f>+'2027'!E37</f>
        <v>Cantidad(2027)</v>
      </c>
      <c r="L37" s="298" t="str">
        <f>+'2027'!F37</f>
        <v>Inversión $(2027)  
Asignado</v>
      </c>
      <c r="M37" s="308" t="s">
        <v>400</v>
      </c>
      <c r="N37" s="309" t="s">
        <v>401</v>
      </c>
    </row>
    <row r="38" spans="1:14" ht="24" customHeight="1" x14ac:dyDescent="0.25">
      <c r="A38" s="232" t="str">
        <f>+'2024'!A38</f>
        <v>1.1.3.1</v>
      </c>
      <c r="B38" s="233" t="str">
        <f>+'2024'!B38</f>
        <v xml:space="preserve">Asegurar la operatividad de los CAV de Fauna de Corpocaldas </v>
      </c>
      <c r="C38" s="233" t="str">
        <f>+'2024'!C38</f>
        <v>Número</v>
      </c>
      <c r="D38" s="233" t="str">
        <f>+'2024'!D38</f>
        <v># de CAV implementados y operando</v>
      </c>
      <c r="E38" s="232">
        <f>+'2024'!E38</f>
        <v>3</v>
      </c>
      <c r="F38" s="234">
        <f>+'2024'!F38</f>
        <v>930000000</v>
      </c>
      <c r="G38" s="232">
        <f>+'2025'!E38</f>
        <v>3</v>
      </c>
      <c r="H38" s="234">
        <f>+'2025'!F38</f>
        <v>950000000</v>
      </c>
      <c r="I38" s="232">
        <f>+'2026'!E38</f>
        <v>3</v>
      </c>
      <c r="J38" s="234">
        <f>+'2026'!F38</f>
        <v>950000000</v>
      </c>
      <c r="K38" s="232">
        <f>+'2027'!E38</f>
        <v>3</v>
      </c>
      <c r="L38" s="299">
        <f>+'2027'!F38</f>
        <v>1005220000</v>
      </c>
      <c r="M38" s="307">
        <v>3</v>
      </c>
      <c r="N38" s="234">
        <f t="shared" si="0"/>
        <v>3835220000</v>
      </c>
    </row>
    <row r="39" spans="1:14" ht="31.5" x14ac:dyDescent="0.25">
      <c r="A39" s="232" t="str">
        <f>+'2024'!A39</f>
        <v>1.1.3.2</v>
      </c>
      <c r="B39" s="233" t="str">
        <f>+'2024'!B39</f>
        <v>Diseñar e Implementar una estrategia para prevención y control de la casería, el trafico y tenencia ilegal de fauna silvestre</v>
      </c>
      <c r="C39" s="233" t="str">
        <f>+'2024'!C39</f>
        <v>Número</v>
      </c>
      <c r="D39" s="233" t="str">
        <f>+'2024'!D39</f>
        <v xml:space="preserve">Estrategia diseñada e implementada </v>
      </c>
      <c r="E39" s="232">
        <f>+'2024'!E39</f>
        <v>0</v>
      </c>
      <c r="F39" s="234">
        <f>+'2024'!F39</f>
        <v>0</v>
      </c>
      <c r="G39" s="232">
        <f>+'2025'!E39</f>
        <v>1</v>
      </c>
      <c r="H39" s="234">
        <f>+'2025'!F39</f>
        <v>60000000</v>
      </c>
      <c r="I39" s="232">
        <f>+'2026'!E39</f>
        <v>1</v>
      </c>
      <c r="J39" s="234">
        <f>+'2026'!F39</f>
        <v>80000000</v>
      </c>
      <c r="K39" s="232">
        <f>+'2027'!E39</f>
        <v>1</v>
      </c>
      <c r="L39" s="299">
        <f>+'2027'!F39</f>
        <v>80000000</v>
      </c>
      <c r="M39" s="307">
        <v>1</v>
      </c>
      <c r="N39" s="234">
        <f t="shared" si="0"/>
        <v>220000000</v>
      </c>
    </row>
    <row r="40" spans="1:14" ht="63" x14ac:dyDescent="0.25">
      <c r="A40" s="232" t="str">
        <f>+'2024'!A40</f>
        <v>1.1.3.3</v>
      </c>
      <c r="B40" s="233" t="str">
        <f>+'2024'!B40</f>
        <v>Desarrollar acciones para la conservación de especies amenazadas, endémicas y focales con y sin plan de manejo</v>
      </c>
      <c r="C40" s="233" t="str">
        <f>+'2024'!C40</f>
        <v>Número</v>
      </c>
      <c r="D40" s="233" t="str">
        <f>+'2024'!D40</f>
        <v># de especies amenazadas, endémicas y focales con acciones de conservación</v>
      </c>
      <c r="E40" s="232">
        <f>+'2024'!E40</f>
        <v>0</v>
      </c>
      <c r="F40" s="234">
        <f>+'2024'!F40</f>
        <v>0</v>
      </c>
      <c r="G40" s="232">
        <f>+'2025'!E40</f>
        <v>2</v>
      </c>
      <c r="H40" s="234">
        <f>+'2025'!F40</f>
        <v>70000000</v>
      </c>
      <c r="I40" s="232">
        <f>+'2026'!E40</f>
        <v>3</v>
      </c>
      <c r="J40" s="234">
        <f>+'2026'!F40</f>
        <v>140000000</v>
      </c>
      <c r="K40" s="232">
        <f>+'2027'!E40</f>
        <v>3</v>
      </c>
      <c r="L40" s="299">
        <f>+'2027'!F40</f>
        <v>120000000</v>
      </c>
      <c r="M40" s="307">
        <v>3</v>
      </c>
      <c r="N40" s="234">
        <f t="shared" si="0"/>
        <v>330000000</v>
      </c>
    </row>
    <row r="41" spans="1:14" ht="33.75" customHeight="1" x14ac:dyDescent="0.25">
      <c r="A41" s="232" t="str">
        <f>+'2024'!A41</f>
        <v>1.1.3.4</v>
      </c>
      <c r="B41" s="233" t="str">
        <f>+'2024'!B41</f>
        <v>Consolidar y operar la red de monitoreo de fauna silvestre en ecosistemas naturales y transformados</v>
      </c>
      <c r="C41" s="233" t="str">
        <f>+'2024'!C41</f>
        <v>Número</v>
      </c>
      <c r="D41" s="233" t="str">
        <f>+'2024'!D41</f>
        <v>Red de monitoreo de fauna operando</v>
      </c>
      <c r="E41" s="232">
        <f>+'2024'!E41</f>
        <v>1</v>
      </c>
      <c r="F41" s="234">
        <f>+'2024'!F41</f>
        <v>35000000</v>
      </c>
      <c r="G41" s="232">
        <f>+'2025'!E41</f>
        <v>1</v>
      </c>
      <c r="H41" s="234">
        <f>+'2025'!F41</f>
        <v>70000000</v>
      </c>
      <c r="I41" s="232">
        <f>+'2026'!E41</f>
        <v>1</v>
      </c>
      <c r="J41" s="234">
        <f>+'2026'!F41</f>
        <v>88000000</v>
      </c>
      <c r="K41" s="232">
        <f>+'2027'!E41</f>
        <v>1</v>
      </c>
      <c r="L41" s="299">
        <f>+'2027'!F41</f>
        <v>92000000</v>
      </c>
      <c r="M41" s="307">
        <v>1</v>
      </c>
      <c r="N41" s="234">
        <f t="shared" si="0"/>
        <v>285000000</v>
      </c>
    </row>
    <row r="42" spans="1:14" ht="31.5" x14ac:dyDescent="0.25">
      <c r="A42" s="232" t="str">
        <f>+'2024'!A42</f>
        <v>1.1.3.5</v>
      </c>
      <c r="B42" s="233" t="str">
        <f>+'2024'!B42</f>
        <v>Desarrollar monitoreo de los animales liberados y rehabilitados en Corpocaldas</v>
      </c>
      <c r="C42" s="233" t="str">
        <f>+'2024'!C42</f>
        <v xml:space="preserve">Porcentaje </v>
      </c>
      <c r="D42" s="233" t="str">
        <f>+'2024'!D42</f>
        <v xml:space="preserve">% de individuos liberados con monitoreo </v>
      </c>
      <c r="E42" s="232">
        <f>+'2024'!E42</f>
        <v>1.5</v>
      </c>
      <c r="F42" s="234">
        <f>+'2024'!F42</f>
        <v>36000000</v>
      </c>
      <c r="G42" s="232">
        <f>+'2025'!E42</f>
        <v>3</v>
      </c>
      <c r="H42" s="234">
        <f>+'2025'!F42</f>
        <v>90000000</v>
      </c>
      <c r="I42" s="232">
        <f>+'2026'!E42</f>
        <v>4</v>
      </c>
      <c r="J42" s="234">
        <f>+'2026'!F42</f>
        <v>110000000</v>
      </c>
      <c r="K42" s="232">
        <f>+'2027'!E42</f>
        <v>5</v>
      </c>
      <c r="L42" s="299">
        <f>+'2027'!F42</f>
        <v>140000000</v>
      </c>
      <c r="M42" s="307">
        <v>5</v>
      </c>
      <c r="N42" s="234">
        <f t="shared" si="0"/>
        <v>376000000</v>
      </c>
    </row>
    <row r="43" spans="1:14" x14ac:dyDescent="0.25">
      <c r="A43" s="232" t="str">
        <f>+'2024'!A43</f>
        <v>1.1.3.6</v>
      </c>
      <c r="B43" s="233" t="str">
        <f>+'2024'!B43</f>
        <v>Atender los conflictos reportados por fauna</v>
      </c>
      <c r="C43" s="233" t="str">
        <f>+'2024'!C43</f>
        <v>Porcentaje</v>
      </c>
      <c r="D43" s="233" t="str">
        <f>+'2024'!D43</f>
        <v>% de conflictos atendidos</v>
      </c>
      <c r="E43" s="232">
        <f>+'2024'!E43</f>
        <v>100</v>
      </c>
      <c r="F43" s="234">
        <f>+'2024'!F43</f>
        <v>40000000</v>
      </c>
      <c r="G43" s="232">
        <f>+'2025'!E43</f>
        <v>100</v>
      </c>
      <c r="H43" s="234">
        <f>+'2025'!F43</f>
        <v>80000000</v>
      </c>
      <c r="I43" s="232">
        <f>+'2026'!E43</f>
        <v>100</v>
      </c>
      <c r="J43" s="234">
        <f>+'2026'!F43</f>
        <v>110000000</v>
      </c>
      <c r="K43" s="232">
        <f>+'2027'!E43</f>
        <v>100</v>
      </c>
      <c r="L43" s="299">
        <f>+'2027'!F43</f>
        <v>140000000</v>
      </c>
      <c r="M43" s="307">
        <v>100</v>
      </c>
      <c r="N43" s="234">
        <f t="shared" si="0"/>
        <v>370000000</v>
      </c>
    </row>
    <row r="44" spans="1:14" ht="78.75" x14ac:dyDescent="0.25">
      <c r="A44" s="232" t="str">
        <f>+'2024'!A44</f>
        <v>1.1.3.7</v>
      </c>
      <c r="B44" s="233" t="str">
        <f>+'2024'!B44</f>
        <v xml:space="preserve">Desarrollar acciones para prevenir, controlar y manejar especies exóticas e invasoras de fauna con y sin plan de manejo </v>
      </c>
      <c r="C44" s="233" t="str">
        <f>+'2024'!C44</f>
        <v>Número</v>
      </c>
      <c r="D44" s="233" t="str">
        <f>+'2024'!D44</f>
        <v># de planes de manejo para especies exoticas invasoras y generadoras de conflicto de fauna implementados</v>
      </c>
      <c r="E44" s="232">
        <f>+'2024'!E44</f>
        <v>1</v>
      </c>
      <c r="F44" s="234">
        <f>+'2024'!F44</f>
        <v>100000000</v>
      </c>
      <c r="G44" s="232">
        <f>+'2025'!E44</f>
        <v>2</v>
      </c>
      <c r="H44" s="234">
        <f>+'2025'!F44</f>
        <v>110000000</v>
      </c>
      <c r="I44" s="232">
        <f>+'2026'!E44</f>
        <v>3</v>
      </c>
      <c r="J44" s="234">
        <f>+'2026'!F44</f>
        <v>160000000</v>
      </c>
      <c r="K44" s="232">
        <f>+'2027'!E44</f>
        <v>3</v>
      </c>
      <c r="L44" s="299">
        <f>+'2027'!F44</f>
        <v>160000000</v>
      </c>
      <c r="M44" s="307">
        <v>3</v>
      </c>
      <c r="N44" s="234">
        <f t="shared" si="0"/>
        <v>530000000</v>
      </c>
    </row>
    <row r="45" spans="1:14" x14ac:dyDescent="0.25">
      <c r="A45" s="18" t="str">
        <f>+'2024'!A45</f>
        <v>PROGRAMA 1.2</v>
      </c>
      <c r="B45" s="221" t="str">
        <f>+'2024'!B45</f>
        <v>PLANIFICACIÓN Y ORDENAMIENTO DEL BIOTERRITORIO</v>
      </c>
      <c r="C45" s="356"/>
      <c r="D45" s="356"/>
      <c r="E45" s="356"/>
      <c r="F45" s="228">
        <f>+'2024'!F45</f>
        <v>364685400</v>
      </c>
      <c r="G45" s="229"/>
      <c r="H45" s="228">
        <f>+'2025'!F45</f>
        <v>2833000000</v>
      </c>
      <c r="I45" s="229"/>
      <c r="J45" s="228">
        <f>+'2026'!F45</f>
        <v>3206500000</v>
      </c>
      <c r="K45" s="229"/>
      <c r="L45" s="296">
        <f>+'2027'!F45</f>
        <v>2984000000</v>
      </c>
      <c r="M45" s="228"/>
      <c r="N45" s="228">
        <f t="shared" si="0"/>
        <v>9388185400</v>
      </c>
    </row>
    <row r="46" spans="1:14" x14ac:dyDescent="0.25">
      <c r="A46" s="21" t="str">
        <f>+'2024'!A46</f>
        <v>PROYECTO 1.2.1</v>
      </c>
      <c r="B46" s="22" t="str">
        <f>+'2024'!B46</f>
        <v xml:space="preserve">Agua y ordenamiento del bioterritorio </v>
      </c>
      <c r="C46" s="22" t="str">
        <f>+'2024'!C46</f>
        <v>CODIGO DNP</v>
      </c>
      <c r="D46" s="222">
        <f>+'2024'!D46</f>
        <v>3203</v>
      </c>
      <c r="E46" s="23"/>
      <c r="F46" s="230">
        <f>+'2024'!F46</f>
        <v>159223600</v>
      </c>
      <c r="G46" s="231">
        <f>+'2025'!E46</f>
        <v>0</v>
      </c>
      <c r="H46" s="230">
        <f>+'2025'!F46</f>
        <v>1357000000</v>
      </c>
      <c r="I46" s="231">
        <f>+'2026'!E46</f>
        <v>0</v>
      </c>
      <c r="J46" s="230">
        <f>+'2026'!F46</f>
        <v>1496500000</v>
      </c>
      <c r="K46" s="231">
        <f>+'2027'!E46</f>
        <v>0</v>
      </c>
      <c r="L46" s="297">
        <f>+'2027'!F46</f>
        <v>1432000000</v>
      </c>
      <c r="M46" s="230"/>
      <c r="N46" s="230">
        <f t="shared" si="0"/>
        <v>4444723600</v>
      </c>
    </row>
    <row r="47" spans="1:14" ht="25.5" x14ac:dyDescent="0.25">
      <c r="A47" s="24" t="str">
        <f>+'2024'!A47</f>
        <v>CODIGO</v>
      </c>
      <c r="B47" s="25" t="str">
        <f>+'2024'!B47</f>
        <v>ACCIONES 
(INFINITIVO)</v>
      </c>
      <c r="C47" s="25" t="str">
        <f>+'2024'!C47</f>
        <v>UNIDAD 
DE MEDIDA</v>
      </c>
      <c r="D47" s="25" t="str">
        <f>+'2024'!D47</f>
        <v>INDICADOR 
FÓRMULA</v>
      </c>
      <c r="E47" s="25" t="str">
        <f>+'2024'!E47</f>
        <v>Cantidad (2024)</v>
      </c>
      <c r="F47" s="25" t="str">
        <f>+'2024'!F47</f>
        <v>Inversión $ (2024)
 Asignado</v>
      </c>
      <c r="G47" s="25" t="str">
        <f>+'2025'!E47</f>
        <v>Cantidad (2025)</v>
      </c>
      <c r="H47" s="25" t="str">
        <f>+'2025'!F47</f>
        <v>Inversión $ (2025) 
Asignado</v>
      </c>
      <c r="I47" s="25" t="str">
        <f>+'2026'!E47</f>
        <v>Cantidad (2026)</v>
      </c>
      <c r="J47" s="25" t="str">
        <f>+'2026'!F47</f>
        <v>Inversión $ (2026) Asignado</v>
      </c>
      <c r="K47" s="25" t="str">
        <f>+'2027'!E47</f>
        <v>Cantidad(2027)</v>
      </c>
      <c r="L47" s="298" t="str">
        <f>+'2027'!F47</f>
        <v>Inversión $(2027)  
Asignado</v>
      </c>
      <c r="M47" s="308" t="s">
        <v>400</v>
      </c>
      <c r="N47" s="309" t="s">
        <v>401</v>
      </c>
    </row>
    <row r="48" spans="1:14" ht="47.25" x14ac:dyDescent="0.25">
      <c r="A48" s="232" t="str">
        <f>+'2024'!A48</f>
        <v>1.2.1.1</v>
      </c>
      <c r="B48" s="233" t="str">
        <f>+'2024'!B48</f>
        <v>Revisar y ajustar las determinantes ambientales para el ordenamiento territorial de acuerdo con las dinámicas normativas y las condiciones del bioterritorio</v>
      </c>
      <c r="C48" s="233" t="str">
        <f>+'2024'!C48</f>
        <v>Porcentaje</v>
      </c>
      <c r="D48" s="233" t="str">
        <f>+'2024'!D48</f>
        <v>% Determinantes ambientales revisadas y ajustadas</v>
      </c>
      <c r="E48" s="232">
        <f>+'2024'!E48</f>
        <v>0</v>
      </c>
      <c r="F48" s="234">
        <f>+'2024'!F48</f>
        <v>0</v>
      </c>
      <c r="G48" s="232">
        <f>+'2025'!E48</f>
        <v>100</v>
      </c>
      <c r="H48" s="234">
        <f>+'2025'!F48</f>
        <v>83000000</v>
      </c>
      <c r="I48" s="232">
        <f>+'2026'!E48</f>
        <v>100</v>
      </c>
      <c r="J48" s="234">
        <f>+'2026'!F48</f>
        <v>91000000</v>
      </c>
      <c r="K48" s="232">
        <f>+'2027'!E48</f>
        <v>100</v>
      </c>
      <c r="L48" s="299">
        <f>+'2027'!F48</f>
        <v>100000000</v>
      </c>
      <c r="M48" s="307">
        <v>100</v>
      </c>
      <c r="N48" s="234">
        <f t="shared" si="0"/>
        <v>274000000</v>
      </c>
    </row>
    <row r="49" spans="1:14" x14ac:dyDescent="0.25">
      <c r="A49" s="232" t="str">
        <f>+'2024'!A49</f>
        <v>1.2.1.2</v>
      </c>
      <c r="B49" s="233" t="str">
        <f>+'2024'!B49</f>
        <v>Acotar rondas hidricas para corrientes priorizadas de Caldas</v>
      </c>
      <c r="C49" s="233" t="str">
        <f>+'2024'!C49</f>
        <v>Número</v>
      </c>
      <c r="D49" s="233" t="str">
        <f>+'2024'!D49</f>
        <v># corrientes acotadas</v>
      </c>
      <c r="E49" s="232">
        <f>+'2024'!E49</f>
        <v>0</v>
      </c>
      <c r="F49" s="234">
        <f>+'2024'!F49</f>
        <v>0</v>
      </c>
      <c r="G49" s="232">
        <f>+'2025'!E49</f>
        <v>1</v>
      </c>
      <c r="H49" s="234">
        <f>+'2025'!F49</f>
        <v>230000000</v>
      </c>
      <c r="I49" s="232">
        <f>+'2026'!E49</f>
        <v>1</v>
      </c>
      <c r="J49" s="234">
        <f>+'2026'!F49</f>
        <v>751500000</v>
      </c>
      <c r="K49" s="232">
        <f>+'2027'!E49</f>
        <v>0</v>
      </c>
      <c r="L49" s="299">
        <f>+'2027'!F49</f>
        <v>0</v>
      </c>
      <c r="M49" s="307">
        <f t="shared" ref="M49:M55" si="3">E49+G49+I49+K49</f>
        <v>2</v>
      </c>
      <c r="N49" s="234">
        <f t="shared" si="0"/>
        <v>981500000</v>
      </c>
    </row>
    <row r="50" spans="1:14" ht="47.25" x14ac:dyDescent="0.25">
      <c r="A50" s="232" t="str">
        <f>+'2024'!A50</f>
        <v>1.2.1.3</v>
      </c>
      <c r="B50" s="233" t="str">
        <f>+'2024'!B50</f>
        <v>Realizar asistencia tecnica a las entidades territoriales en la incorporación de las determinantes ambientales en los instrumentos de Ordenamiento  Territorial</v>
      </c>
      <c r="C50" s="233" t="str">
        <f>+'2024'!C50</f>
        <v>Número</v>
      </c>
      <c r="D50" s="233" t="str">
        <f>+'2024'!D50</f>
        <v># de Entidafes territoriales acompañadas</v>
      </c>
      <c r="E50" s="232">
        <f>+'2024'!E50</f>
        <v>28</v>
      </c>
      <c r="F50" s="234">
        <f>+'2024'!F50</f>
        <v>37111800</v>
      </c>
      <c r="G50" s="232">
        <f>+'2025'!E50</f>
        <v>28</v>
      </c>
      <c r="H50" s="234">
        <f>+'2025'!F50</f>
        <v>210000000</v>
      </c>
      <c r="I50" s="232">
        <f>+'2026'!E50</f>
        <v>28</v>
      </c>
      <c r="J50" s="234">
        <f>+'2026'!F50</f>
        <v>238000000</v>
      </c>
      <c r="K50" s="232">
        <f>+'2027'!E50</f>
        <v>28</v>
      </c>
      <c r="L50" s="299">
        <f>+'2027'!F50</f>
        <v>260000000</v>
      </c>
      <c r="M50" s="307">
        <v>28</v>
      </c>
      <c r="N50" s="234">
        <f t="shared" si="0"/>
        <v>745111800</v>
      </c>
    </row>
    <row r="51" spans="1:14" ht="78.75" x14ac:dyDescent="0.25">
      <c r="A51" s="232" t="str">
        <f>+'2024'!A51</f>
        <v>1.2.1.4</v>
      </c>
      <c r="B51" s="233" t="str">
        <f>+'2024'!B51</f>
        <v xml:space="preserve">Realizar seguimiento a la aplicación de las determinantes ambientales en el Ordenamiento Territorial
</v>
      </c>
      <c r="C51" s="233" t="str">
        <f>+'2024'!C51</f>
        <v>Número</v>
      </c>
      <c r="D51" s="233" t="str">
        <f>+'2024'!D51</f>
        <v># de Entidades territoriales con seguimiento a las determinantes ambientales</v>
      </c>
      <c r="E51" s="232">
        <f>+'2024'!E51</f>
        <v>27</v>
      </c>
      <c r="F51" s="234">
        <f>+'2024'!F51</f>
        <v>37111800</v>
      </c>
      <c r="G51" s="232">
        <f>+'2025'!E51</f>
        <v>27</v>
      </c>
      <c r="H51" s="234">
        <f>+'2025'!F51</f>
        <v>110000000</v>
      </c>
      <c r="I51" s="232">
        <f>+'2026'!E51</f>
        <v>27</v>
      </c>
      <c r="J51" s="234">
        <f>+'2026'!F51</f>
        <v>126000000</v>
      </c>
      <c r="K51" s="232">
        <f>+'2027'!E51</f>
        <v>27</v>
      </c>
      <c r="L51" s="299">
        <f>+'2027'!F51</f>
        <v>140000000</v>
      </c>
      <c r="M51" s="307">
        <v>27</v>
      </c>
      <c r="N51" s="234">
        <f t="shared" si="0"/>
        <v>413111800</v>
      </c>
    </row>
    <row r="52" spans="1:14" ht="31.5" x14ac:dyDescent="0.25">
      <c r="A52" s="232" t="str">
        <f>+'2024'!A52</f>
        <v>1.2.1.5</v>
      </c>
      <c r="B52" s="233" t="str">
        <f>+'2024'!B52</f>
        <v>Declarar o ampliar áreas protegidas en el departamento de Caldas</v>
      </c>
      <c r="C52" s="233" t="str">
        <f>+'2024'!C52</f>
        <v>Número</v>
      </c>
      <c r="D52" s="233" t="str">
        <f>+'2024'!D52</f>
        <v># de áreas declaradas</v>
      </c>
      <c r="E52" s="232">
        <f>+'2024'!E52</f>
        <v>1</v>
      </c>
      <c r="F52" s="234">
        <f>+'2024'!F52</f>
        <v>0</v>
      </c>
      <c r="G52" s="232">
        <f>+'2025'!E52</f>
        <v>1</v>
      </c>
      <c r="H52" s="234">
        <f>+'2025'!F52</f>
        <v>100000000</v>
      </c>
      <c r="I52" s="232">
        <f>+'2026'!E52</f>
        <v>1</v>
      </c>
      <c r="J52" s="234">
        <f>+'2026'!F52</f>
        <v>110000000</v>
      </c>
      <c r="K52" s="232">
        <f>+'2027'!E52</f>
        <v>1</v>
      </c>
      <c r="L52" s="299">
        <f>+'2027'!F52</f>
        <v>120000000</v>
      </c>
      <c r="M52" s="307">
        <f t="shared" si="3"/>
        <v>4</v>
      </c>
      <c r="N52" s="234">
        <f t="shared" si="0"/>
        <v>330000000</v>
      </c>
    </row>
    <row r="53" spans="1:14" ht="31.5" x14ac:dyDescent="0.25">
      <c r="A53" s="232" t="str">
        <f>+'2024'!A53</f>
        <v>1.2.1.6</v>
      </c>
      <c r="B53" s="233" t="str">
        <f>+'2024'!B53</f>
        <v>Realizar inventario  de usuarios del recurso hídrico para el registro y/o legalizacion en subzonas hidrográficas priorizadas</v>
      </c>
      <c r="C53" s="233" t="str">
        <f>+'2024'!C53</f>
        <v>Número</v>
      </c>
      <c r="D53" s="233" t="str">
        <f>+'2024'!D53</f>
        <v># de usuarios registrados</v>
      </c>
      <c r="E53" s="232">
        <f>+'2024'!E53</f>
        <v>0</v>
      </c>
      <c r="F53" s="234">
        <f>+'2024'!F53</f>
        <v>0</v>
      </c>
      <c r="G53" s="232">
        <f>+'2025'!E53</f>
        <v>1000</v>
      </c>
      <c r="H53" s="234">
        <f>+'2025'!F53</f>
        <v>400000000</v>
      </c>
      <c r="I53" s="232">
        <f>+'2026'!E53</f>
        <v>0</v>
      </c>
      <c r="J53" s="234">
        <f>+'2026'!F53</f>
        <v>0</v>
      </c>
      <c r="K53" s="232">
        <f>+'2027'!E53</f>
        <v>1400</v>
      </c>
      <c r="L53" s="299">
        <f>+'2027'!F53</f>
        <v>600000000</v>
      </c>
      <c r="M53" s="307">
        <f t="shared" si="3"/>
        <v>2400</v>
      </c>
      <c r="N53" s="234">
        <f t="shared" si="0"/>
        <v>1000000000</v>
      </c>
    </row>
    <row r="54" spans="1:14" ht="31.5" x14ac:dyDescent="0.25">
      <c r="A54" s="232" t="str">
        <f>+'2024'!A54</f>
        <v>1.2.1.7</v>
      </c>
      <c r="B54" s="233" t="str">
        <f>+'2024'!B54</f>
        <v xml:space="preserve">Diseñar herramientas de conservacción para la gestión y administración del recurso hídrico </v>
      </c>
      <c r="C54" s="233" t="str">
        <f>+'2024'!C54</f>
        <v>Número</v>
      </c>
      <c r="D54" s="233" t="str">
        <f>+'2024'!D54</f>
        <v># de herramientas diseñadas</v>
      </c>
      <c r="E54" s="232">
        <f>+'2024'!E54</f>
        <v>1</v>
      </c>
      <c r="F54" s="234">
        <f>+'2024'!F54</f>
        <v>85000000</v>
      </c>
      <c r="G54" s="232">
        <f>+'2025'!E54</f>
        <v>1</v>
      </c>
      <c r="H54" s="234">
        <f>+'2025'!F54</f>
        <v>170000000</v>
      </c>
      <c r="I54" s="232">
        <f>+'2026'!E54</f>
        <v>1</v>
      </c>
      <c r="J54" s="234">
        <f>+'2026'!F54</f>
        <v>180000000</v>
      </c>
      <c r="K54" s="232">
        <f>+'2027'!E54</f>
        <v>1</v>
      </c>
      <c r="L54" s="299">
        <f>+'2027'!F54</f>
        <v>212000000</v>
      </c>
      <c r="M54" s="307">
        <v>1</v>
      </c>
      <c r="N54" s="234">
        <f t="shared" si="0"/>
        <v>647000000</v>
      </c>
    </row>
    <row r="55" spans="1:14" ht="31.5" x14ac:dyDescent="0.25">
      <c r="A55" s="232" t="str">
        <f>+'2024'!A55</f>
        <v>1.2.1.8</v>
      </c>
      <c r="B55" s="233" t="str">
        <f>+'2024'!B55</f>
        <v>Formular lineamientos para el desarrollo de turismo sostenible en áreas de la estructura ecológica principal</v>
      </c>
      <c r="C55" s="233" t="str">
        <f>+'2024'!C55</f>
        <v>Número</v>
      </c>
      <c r="D55" s="233" t="str">
        <f>+'2024'!D55</f>
        <v># de lineamientos formulados</v>
      </c>
      <c r="E55" s="232">
        <f>+'2024'!E55</f>
        <v>0</v>
      </c>
      <c r="F55" s="234">
        <f>+'2024'!F55</f>
        <v>0</v>
      </c>
      <c r="G55" s="232">
        <f>+'2025'!E55</f>
        <v>1</v>
      </c>
      <c r="H55" s="234">
        <f>+'2025'!F55</f>
        <v>54000000</v>
      </c>
      <c r="I55" s="232">
        <f>+'2026'!E55</f>
        <v>0</v>
      </c>
      <c r="J55" s="234">
        <f>+'2026'!F55</f>
        <v>0</v>
      </c>
      <c r="K55" s="232">
        <f>+'2027'!E55</f>
        <v>0</v>
      </c>
      <c r="L55" s="299">
        <f>+'2027'!F55</f>
        <v>0</v>
      </c>
      <c r="M55" s="307">
        <f t="shared" si="3"/>
        <v>1</v>
      </c>
      <c r="N55" s="234">
        <f t="shared" si="0"/>
        <v>54000000</v>
      </c>
    </row>
    <row r="56" spans="1:14" ht="25.5" x14ac:dyDescent="0.25">
      <c r="A56" s="21" t="str">
        <f>+'2024'!A56</f>
        <v>PROYECTO 1.2.2</v>
      </c>
      <c r="B56" s="22" t="str">
        <f>+'2024'!B56</f>
        <v xml:space="preserve">Instrumentos de planificación, seguimiento y control ambiental del bioterritorio </v>
      </c>
      <c r="C56" s="22" t="str">
        <f>+'2024'!C56</f>
        <v>CODIGO DNP</v>
      </c>
      <c r="D56" s="222">
        <f>+'2024'!D56</f>
        <v>3205</v>
      </c>
      <c r="E56" s="23"/>
      <c r="F56" s="230">
        <f>+'2024'!F56</f>
        <v>205461800</v>
      </c>
      <c r="G56" s="231"/>
      <c r="H56" s="230">
        <f>+'2025'!F56</f>
        <v>1476000000</v>
      </c>
      <c r="I56" s="231"/>
      <c r="J56" s="230">
        <f>+'2026'!F56</f>
        <v>1710000000</v>
      </c>
      <c r="K56" s="231"/>
      <c r="L56" s="297">
        <f>+'2027'!F56</f>
        <v>1552000000</v>
      </c>
      <c r="M56" s="230"/>
      <c r="N56" s="230">
        <f t="shared" si="0"/>
        <v>4943461800</v>
      </c>
    </row>
    <row r="57" spans="1:14" ht="25.5" x14ac:dyDescent="0.25">
      <c r="A57" s="24" t="str">
        <f>+'2024'!A57</f>
        <v>CODIGO</v>
      </c>
      <c r="B57" s="25" t="str">
        <f>+'2024'!B57</f>
        <v>ACCIONES 
(INFINITIVO)</v>
      </c>
      <c r="C57" s="25" t="str">
        <f>+'2024'!C57</f>
        <v>UNIDAD 
DE MEDIDA</v>
      </c>
      <c r="D57" s="25" t="str">
        <f>+'2024'!D57</f>
        <v>INDICADOR 
FÓRMULA</v>
      </c>
      <c r="E57" s="25" t="str">
        <f>+'2024'!E57</f>
        <v>Cantidad (2024)</v>
      </c>
      <c r="F57" s="25" t="str">
        <f>+'2024'!F57</f>
        <v>Inversión $ (2024)
 Asignado</v>
      </c>
      <c r="G57" s="25" t="str">
        <f>+'2025'!E57</f>
        <v>Cantidad (2025)</v>
      </c>
      <c r="H57" s="25" t="str">
        <f>+'2025'!F57</f>
        <v>Inversión $ (2025) 
Asignado</v>
      </c>
      <c r="I57" s="25" t="str">
        <f>+'2026'!E57</f>
        <v>Cantidad (2026)</v>
      </c>
      <c r="J57" s="25" t="str">
        <f>+'2026'!F57</f>
        <v>Inversión $ (2026) Asignado</v>
      </c>
      <c r="K57" s="25" t="str">
        <f>+'2027'!E57</f>
        <v>Cantidad(2027)</v>
      </c>
      <c r="L57" s="298" t="str">
        <f>+'2027'!F57</f>
        <v>Inversión $(2027)  
Asignado</v>
      </c>
      <c r="M57" s="308" t="s">
        <v>400</v>
      </c>
      <c r="N57" s="309" t="s">
        <v>401</v>
      </c>
    </row>
    <row r="58" spans="1:14" x14ac:dyDescent="0.25">
      <c r="A58" s="232" t="str">
        <f>+'2024'!A58</f>
        <v>1.2.2.1</v>
      </c>
      <c r="B58" s="233" t="str">
        <f>+'2024'!B58</f>
        <v xml:space="preserve">Adoptar instrumentos de  planificación ambiental </v>
      </c>
      <c r="C58" s="233" t="str">
        <f>+'2024'!C58</f>
        <v>Número</v>
      </c>
      <c r="D58" s="233" t="str">
        <f>+'2024'!D58</f>
        <v># de planes adoptados</v>
      </c>
      <c r="E58" s="232">
        <f>+'2024'!E58</f>
        <v>4</v>
      </c>
      <c r="F58" s="234">
        <f>+'2024'!F58</f>
        <v>0</v>
      </c>
      <c r="G58" s="232">
        <f>+'2025'!E58</f>
        <v>8</v>
      </c>
      <c r="H58" s="234">
        <f>+'2025'!F58</f>
        <v>0</v>
      </c>
      <c r="I58" s="232">
        <f>+'2026'!E58</f>
        <v>5</v>
      </c>
      <c r="J58" s="234">
        <f>+'2026'!F58</f>
        <v>0</v>
      </c>
      <c r="K58" s="232">
        <f>+'2027'!E58</f>
        <v>3</v>
      </c>
      <c r="L58" s="299">
        <f>+'2027'!F58</f>
        <v>0</v>
      </c>
      <c r="M58" s="307">
        <f t="shared" ref="M58:M62" si="4">E58+G58+I58+K58</f>
        <v>20</v>
      </c>
      <c r="N58" s="234">
        <f t="shared" si="0"/>
        <v>0</v>
      </c>
    </row>
    <row r="59" spans="1:14" ht="31.5" x14ac:dyDescent="0.25">
      <c r="A59" s="232" t="str">
        <f>+'2024'!A59</f>
        <v>1.2.2.2</v>
      </c>
      <c r="B59" s="233" t="str">
        <f>+'2024'!B59</f>
        <v xml:space="preserve">Formular o actualizar instrumentos de  planificación ambiental </v>
      </c>
      <c r="C59" s="233" t="str">
        <f>+'2024'!C59</f>
        <v>Número</v>
      </c>
      <c r="D59" s="233" t="str">
        <f>+'2024'!D59</f>
        <v># de planes formulados/actualizados</v>
      </c>
      <c r="E59" s="232">
        <f>+'2024'!E59</f>
        <v>1</v>
      </c>
      <c r="F59" s="234">
        <f>+'2024'!F59</f>
        <v>60000000</v>
      </c>
      <c r="G59" s="232">
        <f>+'2025'!E59</f>
        <v>5</v>
      </c>
      <c r="H59" s="234">
        <f>+'2025'!F59</f>
        <v>1000000000</v>
      </c>
      <c r="I59" s="232">
        <f>+'2026'!E59</f>
        <v>10</v>
      </c>
      <c r="J59" s="234">
        <f>+'2026'!F59</f>
        <v>960000000</v>
      </c>
      <c r="K59" s="232">
        <f>+'2027'!E59</f>
        <v>6</v>
      </c>
      <c r="L59" s="299">
        <f>+'2027'!F59</f>
        <v>900000000</v>
      </c>
      <c r="M59" s="307">
        <f t="shared" si="4"/>
        <v>22</v>
      </c>
      <c r="N59" s="234">
        <f t="shared" si="0"/>
        <v>2920000000</v>
      </c>
    </row>
    <row r="60" spans="1:14" ht="78.75" x14ac:dyDescent="0.25">
      <c r="A60" s="232" t="str">
        <f>+'2024'!A60</f>
        <v>1.2.2.3</v>
      </c>
      <c r="B60" s="233" t="str">
        <f>+'2024'!B60</f>
        <v xml:space="preserve">Formular planes de acción de microcuencas abastecedoras de acueductos (ABACOS) </v>
      </c>
      <c r="C60" s="233" t="str">
        <f>+'2024'!C60</f>
        <v>Número</v>
      </c>
      <c r="D60" s="233" t="str">
        <f>+'2024'!D60</f>
        <v># planes de acción de microcuencas abastecedoras de acueductos (ABACOS) formulados</v>
      </c>
      <c r="E60" s="232">
        <f>+'2024'!E60</f>
        <v>5</v>
      </c>
      <c r="F60" s="234">
        <f>+'2024'!F60</f>
        <v>50000000</v>
      </c>
      <c r="G60" s="232">
        <f>+'2025'!E60</f>
        <v>15</v>
      </c>
      <c r="H60" s="234">
        <f>+'2025'!F60</f>
        <v>150000000</v>
      </c>
      <c r="I60" s="232">
        <f>+'2026'!E60</f>
        <v>18</v>
      </c>
      <c r="J60" s="234">
        <f>+'2026'!F60</f>
        <v>180000000</v>
      </c>
      <c r="K60" s="232">
        <f>+'2027'!E60</f>
        <v>7</v>
      </c>
      <c r="L60" s="299">
        <f>+'2027'!F60</f>
        <v>70000000</v>
      </c>
      <c r="M60" s="307">
        <f t="shared" si="4"/>
        <v>45</v>
      </c>
      <c r="N60" s="234">
        <f t="shared" si="0"/>
        <v>450000000</v>
      </c>
    </row>
    <row r="61" spans="1:14" ht="47.25" x14ac:dyDescent="0.25">
      <c r="A61" s="232" t="str">
        <f>+'2024'!A61</f>
        <v>1.2.2.4</v>
      </c>
      <c r="B61" s="233" t="str">
        <f>+'2024'!B61</f>
        <v>Evaluar la incorporación de las determinantes ambientales en el proceso de concertación ambiental de los instrumentos de ordenamiento territorial</v>
      </c>
      <c r="C61" s="233" t="str">
        <f>+'2024'!C61</f>
        <v>Porcentaje</v>
      </c>
      <c r="D61" s="233" t="str">
        <f>+'2024'!D61</f>
        <v>% de  Instrumentos de ordenamiento territorial evaluados</v>
      </c>
      <c r="E61" s="232">
        <f>+'2024'!E61</f>
        <v>100</v>
      </c>
      <c r="F61" s="234">
        <f>+'2024'!F61</f>
        <v>60000000</v>
      </c>
      <c r="G61" s="232">
        <f>+'2025'!E61</f>
        <v>100</v>
      </c>
      <c r="H61" s="234">
        <f>+'2025'!F61</f>
        <v>118000000</v>
      </c>
      <c r="I61" s="232">
        <f>+'2026'!E61</f>
        <v>100</v>
      </c>
      <c r="J61" s="234">
        <f>+'2026'!F61</f>
        <v>130000000</v>
      </c>
      <c r="K61" s="232">
        <f>+'2027'!E61</f>
        <v>100</v>
      </c>
      <c r="L61" s="299">
        <f>+'2027'!F61</f>
        <v>142000000</v>
      </c>
      <c r="M61" s="307">
        <v>100</v>
      </c>
      <c r="N61" s="234">
        <f t="shared" si="0"/>
        <v>450000000</v>
      </c>
    </row>
    <row r="62" spans="1:14" ht="47.25" x14ac:dyDescent="0.25">
      <c r="A62" s="232" t="str">
        <f>+'2024'!A62</f>
        <v>1.2.2.5</v>
      </c>
      <c r="B62" s="233" t="str">
        <f>+'2024'!B62</f>
        <v>Apoyar a los entes territoriales en la   formulación y/o actualización de los Planes de Gestión Integral de Residuos Sólidos</v>
      </c>
      <c r="C62" s="233" t="str">
        <f>+'2024'!C62</f>
        <v>Número</v>
      </c>
      <c r="D62" s="233" t="str">
        <f>+'2024'!D62</f>
        <v># de entidades  territoriales apoyadas</v>
      </c>
      <c r="E62" s="232">
        <f>+'2024'!E62</f>
        <v>0</v>
      </c>
      <c r="F62" s="234">
        <f>+'2024'!F62</f>
        <v>0</v>
      </c>
      <c r="G62" s="232">
        <f>+'2025'!E62</f>
        <v>2</v>
      </c>
      <c r="H62" s="234">
        <f>+'2025'!F62</f>
        <v>80000000</v>
      </c>
      <c r="I62" s="232">
        <f>+'2026'!E62</f>
        <v>2</v>
      </c>
      <c r="J62" s="234">
        <f>+'2026'!F62</f>
        <v>100000000</v>
      </c>
      <c r="K62" s="232">
        <f>+'2027'!E62</f>
        <v>2</v>
      </c>
      <c r="L62" s="299">
        <f>+'2027'!F62</f>
        <v>100000000</v>
      </c>
      <c r="M62" s="307">
        <f t="shared" si="4"/>
        <v>6</v>
      </c>
      <c r="N62" s="234">
        <f t="shared" si="0"/>
        <v>280000000</v>
      </c>
    </row>
    <row r="63" spans="1:14" ht="63" x14ac:dyDescent="0.25">
      <c r="A63" s="232" t="str">
        <f>+'2024'!A63</f>
        <v>1.2.2.6</v>
      </c>
      <c r="B63" s="233" t="str">
        <f>+'2024'!B63</f>
        <v>Seguimiento a la implementación de los instrumentos de planificación ambiental</v>
      </c>
      <c r="C63" s="233" t="str">
        <f>+'2024'!C63</f>
        <v>Número</v>
      </c>
      <c r="D63" s="233" t="str">
        <f>+'2024'!D63</f>
        <v># de instrumentos de planificación ambiental con seguimiento a la implementación</v>
      </c>
      <c r="E63" s="232">
        <f>+'2024'!E63</f>
        <v>13</v>
      </c>
      <c r="F63" s="234">
        <f>+'2024'!F63</f>
        <v>35461800</v>
      </c>
      <c r="G63" s="232">
        <f>+'2025'!E63</f>
        <v>16</v>
      </c>
      <c r="H63" s="234">
        <f>+'2025'!F63</f>
        <v>128000000</v>
      </c>
      <c r="I63" s="232">
        <f>+'2026'!E63</f>
        <v>19</v>
      </c>
      <c r="J63" s="234">
        <f>+'2026'!F63</f>
        <v>140000000</v>
      </c>
      <c r="K63" s="232">
        <f>+'2027'!E63</f>
        <v>19</v>
      </c>
      <c r="L63" s="299">
        <f>+'2027'!F63</f>
        <v>140000000</v>
      </c>
      <c r="M63" s="307">
        <v>19</v>
      </c>
      <c r="N63" s="234">
        <f t="shared" si="0"/>
        <v>443461800</v>
      </c>
    </row>
    <row r="64" spans="1:14" ht="78.75" x14ac:dyDescent="0.25">
      <c r="A64" s="232" t="str">
        <f>+'2024'!A64</f>
        <v>1.2.2.7</v>
      </c>
      <c r="B64" s="233" t="str">
        <f>+'2024'!B64</f>
        <v xml:space="preserve">Formular e implementar el Programa Institucional Regional de Monitoreo del Agua - PIRMA </v>
      </c>
      <c r="C64" s="233" t="str">
        <f>+'2024'!C64</f>
        <v>Número</v>
      </c>
      <c r="D64" s="233" t="str">
        <f>+'2024'!D64</f>
        <v>Programa Institucional Regional de Monitoreo del Agua - PIRMA formulado e implementado</v>
      </c>
      <c r="E64" s="232">
        <f>+'2024'!E64</f>
        <v>0</v>
      </c>
      <c r="F64" s="234">
        <f>+'2024'!F64</f>
        <v>0</v>
      </c>
      <c r="G64" s="232">
        <f>+'2025'!E64</f>
        <v>0</v>
      </c>
      <c r="H64" s="234">
        <f>+'2025'!F64</f>
        <v>0</v>
      </c>
      <c r="I64" s="232">
        <f>+'2026'!E64</f>
        <v>1</v>
      </c>
      <c r="J64" s="234">
        <f>+'2026'!F64</f>
        <v>200000000</v>
      </c>
      <c r="K64" s="232">
        <f>+'2027'!E64</f>
        <v>1</v>
      </c>
      <c r="L64" s="299">
        <f>+'2027'!F64</f>
        <v>200000000</v>
      </c>
      <c r="M64" s="307">
        <v>1</v>
      </c>
      <c r="N64" s="234">
        <f t="shared" si="0"/>
        <v>400000000</v>
      </c>
    </row>
    <row r="65" spans="1:14" x14ac:dyDescent="0.25">
      <c r="A65" s="16" t="str">
        <f>+'2024'!A65</f>
        <v>PILAR 2</v>
      </c>
      <c r="B65" s="220" t="str">
        <f>+'2024'!B65</f>
        <v>BIODESARROLLO SOSTENIBLE</v>
      </c>
      <c r="C65" s="357"/>
      <c r="D65" s="357"/>
      <c r="E65" s="357"/>
      <c r="F65" s="226">
        <f>+'2024'!F65</f>
        <v>3184741534</v>
      </c>
      <c r="G65" s="227"/>
      <c r="H65" s="226">
        <f>+'2025'!F65</f>
        <v>5015900000</v>
      </c>
      <c r="I65" s="227"/>
      <c r="J65" s="226">
        <f>+'2026'!F65</f>
        <v>5741640000</v>
      </c>
      <c r="K65" s="227"/>
      <c r="L65" s="295">
        <f>+'2027'!F65</f>
        <v>6169142000</v>
      </c>
      <c r="M65" s="226"/>
      <c r="N65" s="226">
        <f t="shared" si="0"/>
        <v>20111423534</v>
      </c>
    </row>
    <row r="66" spans="1:14" x14ac:dyDescent="0.25">
      <c r="A66" s="18" t="str">
        <f>+'2024'!A66</f>
        <v>PROGRAMA 2.1</v>
      </c>
      <c r="B66" s="221" t="str">
        <f>+'2024'!B66</f>
        <v>RIESGOS AMBIENTALES Y CAMBIO CLIMÁTICO</v>
      </c>
      <c r="C66" s="356"/>
      <c r="D66" s="356"/>
      <c r="E66" s="356"/>
      <c r="F66" s="228">
        <f>+'2024'!F66</f>
        <v>2754081534</v>
      </c>
      <c r="G66" s="229"/>
      <c r="H66" s="228">
        <f>+'2025'!F66</f>
        <v>3585900000</v>
      </c>
      <c r="I66" s="229"/>
      <c r="J66" s="228">
        <f>+'2026'!F66</f>
        <v>4201640000</v>
      </c>
      <c r="K66" s="229"/>
      <c r="L66" s="296">
        <f>+'2027'!F66</f>
        <v>4629142000</v>
      </c>
      <c r="M66" s="228"/>
      <c r="N66" s="228">
        <f t="shared" si="0"/>
        <v>15170763534</v>
      </c>
    </row>
    <row r="67" spans="1:14" x14ac:dyDescent="0.25">
      <c r="A67" s="21" t="str">
        <f>+'2024'!A67</f>
        <v>PROYECTO 2.1.1</v>
      </c>
      <c r="B67" s="22" t="str">
        <f>+'2024'!B67</f>
        <v>Gestión de riesgos ambientales</v>
      </c>
      <c r="C67" s="22" t="str">
        <f>+'2024'!C67</f>
        <v>CÓDIGO DNP</v>
      </c>
      <c r="D67" s="222">
        <f>+'2024'!D67</f>
        <v>3205</v>
      </c>
      <c r="E67" s="23"/>
      <c r="F67" s="230">
        <f>+'2024'!F67</f>
        <v>2684081534</v>
      </c>
      <c r="G67" s="231"/>
      <c r="H67" s="230">
        <f>+'2025'!F67</f>
        <v>3235900000</v>
      </c>
      <c r="I67" s="231"/>
      <c r="J67" s="230">
        <f>+'2026'!F67</f>
        <v>3741640000</v>
      </c>
      <c r="K67" s="231"/>
      <c r="L67" s="297">
        <f>+'2027'!F67</f>
        <v>4149142000</v>
      </c>
      <c r="M67" s="230"/>
      <c r="N67" s="230">
        <f t="shared" si="0"/>
        <v>13810763534</v>
      </c>
    </row>
    <row r="68" spans="1:14" ht="25.5" x14ac:dyDescent="0.25">
      <c r="A68" s="24" t="str">
        <f>+'2024'!A68</f>
        <v>CODIGO</v>
      </c>
      <c r="B68" s="25" t="str">
        <f>+'2024'!B68</f>
        <v>ACCIONES 
(INFINITIVO)</v>
      </c>
      <c r="C68" s="25" t="str">
        <f>+'2024'!C68</f>
        <v>UNIDAD 
DE MEDIDA</v>
      </c>
      <c r="D68" s="25" t="str">
        <f>+'2024'!D68</f>
        <v>INDICADOR 
FÓRMULA</v>
      </c>
      <c r="E68" s="25" t="str">
        <f>+'2024'!E68</f>
        <v>Cantidad (2024)</v>
      </c>
      <c r="F68" s="25" t="str">
        <f>+'2024'!F68</f>
        <v>Inversión $ (2024)
 Asignado</v>
      </c>
      <c r="G68" s="25" t="str">
        <f>+'2025'!E68</f>
        <v>Cantidad (2025)</v>
      </c>
      <c r="H68" s="25" t="str">
        <f>+'2025'!F68</f>
        <v>Inversión $ (2025) 
Asignado</v>
      </c>
      <c r="I68" s="25" t="str">
        <f>+'2026'!E68</f>
        <v>Cantidad (2026)</v>
      </c>
      <c r="J68" s="25" t="str">
        <f>+'2026'!F68</f>
        <v>Inversión $ (2026) Asignado</v>
      </c>
      <c r="K68" s="25" t="str">
        <f>+'2027'!E68</f>
        <v>Cantidad(2027)</v>
      </c>
      <c r="L68" s="298" t="str">
        <f>+'2027'!F68</f>
        <v>Inversión $(2027)  
Asignado</v>
      </c>
      <c r="M68" s="308" t="s">
        <v>400</v>
      </c>
      <c r="N68" s="309" t="s">
        <v>401</v>
      </c>
    </row>
    <row r="69" spans="1:14" ht="50.25" customHeight="1" x14ac:dyDescent="0.25">
      <c r="A69" s="232" t="str">
        <f>+'2024'!A69</f>
        <v>2.1.1.1</v>
      </c>
      <c r="B69" s="233" t="str">
        <f>+'2024'!B69</f>
        <v xml:space="preserve">Implementar medidas estructurales (obras de ingeniería y Soluciones Basadas en la Naturaleza - SBN) para la reducción del riesgo de desastres </v>
      </c>
      <c r="C69" s="233" t="str">
        <f>+'2024'!C69</f>
        <v>Número</v>
      </c>
      <c r="D69" s="233" t="str">
        <f>+'2024'!D69</f>
        <v># de sitios intervenidos</v>
      </c>
      <c r="E69" s="232">
        <f>+'2024'!E69</f>
        <v>18</v>
      </c>
      <c r="F69" s="234">
        <f>+'2024'!F69</f>
        <v>2032081534</v>
      </c>
      <c r="G69" s="232">
        <f>+'2025'!E69</f>
        <v>22</v>
      </c>
      <c r="H69" s="234">
        <f>+'2025'!F69</f>
        <v>2500000000</v>
      </c>
      <c r="I69" s="232">
        <f>+'2026'!E69</f>
        <v>23</v>
      </c>
      <c r="J69" s="234">
        <f>+'2026'!F69</f>
        <v>2800000000</v>
      </c>
      <c r="K69" s="232">
        <f>+'2027'!E69</f>
        <v>24</v>
      </c>
      <c r="L69" s="299">
        <f>+'2027'!F69</f>
        <v>3200000000</v>
      </c>
      <c r="M69" s="307">
        <f t="shared" ref="M69:M75" si="5">E69+G69+I69+K69</f>
        <v>87</v>
      </c>
      <c r="N69" s="234">
        <f t="shared" si="0"/>
        <v>10532081534</v>
      </c>
    </row>
    <row r="70" spans="1:14" ht="45" customHeight="1" x14ac:dyDescent="0.25">
      <c r="A70" s="232" t="str">
        <f>+'2024'!A70</f>
        <v>2.1.1.2</v>
      </c>
      <c r="B70" s="233" t="str">
        <f>+'2024'!B70</f>
        <v>Desarrollar acciones comunitarias y sectoriales en torno a la gestión, conocimiento y reducción de riesgos ambientales en el territorio</v>
      </c>
      <c r="C70" s="233" t="str">
        <f>+'2024'!C70</f>
        <v>Número</v>
      </c>
      <c r="D70" s="233" t="str">
        <f>+'2024'!D70</f>
        <v xml:space="preserve"># de acciones realizadas en gestión del riesgo </v>
      </c>
      <c r="E70" s="232">
        <f>+'2024'!E70</f>
        <v>0</v>
      </c>
      <c r="F70" s="234">
        <f>+'2024'!F70</f>
        <v>0</v>
      </c>
      <c r="G70" s="232">
        <f>+'2025'!E70</f>
        <v>69</v>
      </c>
      <c r="H70" s="234">
        <f>+'2025'!F70</f>
        <v>75900000</v>
      </c>
      <c r="I70" s="232">
        <f>+'2026'!E70</f>
        <v>84</v>
      </c>
      <c r="J70" s="234">
        <f>+'2026'!F70</f>
        <v>101640000</v>
      </c>
      <c r="K70" s="232">
        <f>+'2027'!E70</f>
        <v>82</v>
      </c>
      <c r="L70" s="299">
        <f>+'2027'!F70</f>
        <v>109142000</v>
      </c>
      <c r="M70" s="307">
        <f t="shared" si="5"/>
        <v>235</v>
      </c>
      <c r="N70" s="234">
        <f t="shared" si="0"/>
        <v>286682000</v>
      </c>
    </row>
    <row r="71" spans="1:14" ht="62.25" customHeight="1" x14ac:dyDescent="0.25">
      <c r="A71" s="232" t="str">
        <f>+'2024'!A71</f>
        <v>2.1.1.3</v>
      </c>
      <c r="B71" s="233" t="str">
        <f>+'2024'!B71</f>
        <v>Implementar medidas de manejo, remediación y recuperación ambiental desarrolladas en ecosistemas afectados por emergencias (considerando la guía de Evaluación de Daños Ambientales - EDANA)</v>
      </c>
      <c r="C71" s="233" t="str">
        <f>+'2024'!C71</f>
        <v>Número</v>
      </c>
      <c r="D71" s="233" t="str">
        <f>+'2024'!D71</f>
        <v># de sitios intervenidos</v>
      </c>
      <c r="E71" s="232">
        <f>+'2024'!E71</f>
        <v>0</v>
      </c>
      <c r="F71" s="234">
        <f>+'2024'!F71</f>
        <v>0</v>
      </c>
      <c r="G71" s="232">
        <f>+'2025'!E71</f>
        <v>1</v>
      </c>
      <c r="H71" s="234">
        <f>+'2025'!F71</f>
        <v>140000000</v>
      </c>
      <c r="I71" s="232">
        <f>+'2026'!E71</f>
        <v>2</v>
      </c>
      <c r="J71" s="234">
        <f>+'2026'!F71</f>
        <v>200000000</v>
      </c>
      <c r="K71" s="232">
        <f>+'2027'!E71</f>
        <v>2</v>
      </c>
      <c r="L71" s="299">
        <f>+'2027'!F71</f>
        <v>200000000</v>
      </c>
      <c r="M71" s="307">
        <f t="shared" si="5"/>
        <v>5</v>
      </c>
      <c r="N71" s="234">
        <f t="shared" si="0"/>
        <v>540000000</v>
      </c>
    </row>
    <row r="72" spans="1:14" ht="43.5" customHeight="1" x14ac:dyDescent="0.25">
      <c r="A72" s="232" t="str">
        <f>+'2024'!A72</f>
        <v>2.1.1.4</v>
      </c>
      <c r="B72" s="233" t="str">
        <f>+'2024'!B72</f>
        <v>Generar y divulgar información y conocimiento sobre riesgos que afecten la oferta y disponibilidad del recurso hídrico, la calidad del aíre y ruido.</v>
      </c>
      <c r="C72" s="233" t="str">
        <f>+'2024'!C72</f>
        <v>Número</v>
      </c>
      <c r="D72" s="233" t="str">
        <f>+'2024'!D72</f>
        <v># de municipios informados</v>
      </c>
      <c r="E72" s="232">
        <f>+'2024'!E72</f>
        <v>3</v>
      </c>
      <c r="F72" s="234">
        <f>+'2024'!F72</f>
        <v>80000000</v>
      </c>
      <c r="G72" s="232">
        <f>+'2025'!E72</f>
        <v>27</v>
      </c>
      <c r="H72" s="234">
        <f>+'2025'!F72</f>
        <v>80000000</v>
      </c>
      <c r="I72" s="232">
        <f>+'2026'!E72</f>
        <v>27</v>
      </c>
      <c r="J72" s="234">
        <f>+'2026'!F72</f>
        <v>90000000</v>
      </c>
      <c r="K72" s="232">
        <f>+'2027'!E72</f>
        <v>27</v>
      </c>
      <c r="L72" s="299">
        <f>+'2027'!F72</f>
        <v>90000000</v>
      </c>
      <c r="M72" s="307">
        <v>27</v>
      </c>
      <c r="N72" s="234">
        <f t="shared" ref="N72:N135" si="6">+F72+H72+J72+L72</f>
        <v>340000000</v>
      </c>
    </row>
    <row r="73" spans="1:14" ht="79.5" customHeight="1" x14ac:dyDescent="0.25">
      <c r="A73" s="232" t="str">
        <f>+'2024'!A73</f>
        <v>2.1.1.5</v>
      </c>
      <c r="B73" s="233" t="str">
        <f>+'2024'!B73</f>
        <v xml:space="preserve">Implementar medidas para reducción del riesgo de la pérdida de biodiversidad y servicios ecosistemicos considerando los 5 motores de pérdida de biodiversidad: la deforestación; el cambio en el uso del suelo; la introducción de especies, la toxificación, eutrofización, desertificación; y el cambio climático. </v>
      </c>
      <c r="C73" s="233" t="str">
        <f>+'2024'!C73</f>
        <v>Número</v>
      </c>
      <c r="D73" s="233" t="str">
        <f>+'2024'!D73</f>
        <v># de medidas implementadas</v>
      </c>
      <c r="E73" s="232">
        <f>+'2024'!E73</f>
        <v>0</v>
      </c>
      <c r="F73" s="234">
        <f>+'2024'!F73</f>
        <v>0</v>
      </c>
      <c r="G73" s="232">
        <f>+'2025'!E73</f>
        <v>2</v>
      </c>
      <c r="H73" s="234">
        <f>+'2025'!F73</f>
        <v>110000000</v>
      </c>
      <c r="I73" s="232">
        <f>+'2026'!E73</f>
        <v>1</v>
      </c>
      <c r="J73" s="234">
        <f>+'2026'!F73</f>
        <v>150000000</v>
      </c>
      <c r="K73" s="232">
        <f>+'2027'!E73</f>
        <v>1</v>
      </c>
      <c r="L73" s="299">
        <f>+'2027'!F73</f>
        <v>150000000</v>
      </c>
      <c r="M73" s="307">
        <v>2</v>
      </c>
      <c r="N73" s="234">
        <f t="shared" si="6"/>
        <v>410000000</v>
      </c>
    </row>
    <row r="74" spans="1:14" ht="31.5" x14ac:dyDescent="0.25">
      <c r="A74" s="232" t="str">
        <f>+'2024'!A74</f>
        <v>2.1.1.6</v>
      </c>
      <c r="B74" s="233" t="str">
        <f>+'2024'!B74</f>
        <v>Mantener las medidas de reducción del riesgo (Programa Guardianes)</v>
      </c>
      <c r="C74" s="233" t="str">
        <f>+'2024'!C74</f>
        <v>Número</v>
      </c>
      <c r="D74" s="233" t="str">
        <f>+'2024'!D74</f>
        <v># de programas implementados</v>
      </c>
      <c r="E74" s="232">
        <f>+'2024'!E74</f>
        <v>2</v>
      </c>
      <c r="F74" s="234">
        <f>+'2024'!F74</f>
        <v>260000000</v>
      </c>
      <c r="G74" s="232">
        <f>+'2025'!E74</f>
        <v>2</v>
      </c>
      <c r="H74" s="234">
        <f>+'2025'!F74</f>
        <v>250000000</v>
      </c>
      <c r="I74" s="232">
        <f>+'2026'!E74</f>
        <v>2</v>
      </c>
      <c r="J74" s="234">
        <f>+'2026'!F74</f>
        <v>250000000</v>
      </c>
      <c r="K74" s="232">
        <f>+'2027'!E74</f>
        <v>2</v>
      </c>
      <c r="L74" s="299">
        <f>+'2027'!F74</f>
        <v>250000000</v>
      </c>
      <c r="M74" s="307">
        <v>2</v>
      </c>
      <c r="N74" s="234">
        <f t="shared" si="6"/>
        <v>1010000000</v>
      </c>
    </row>
    <row r="75" spans="1:14" ht="31.5" x14ac:dyDescent="0.25">
      <c r="A75" s="232" t="str">
        <f>+'2024'!A75</f>
        <v>2.1.1.7</v>
      </c>
      <c r="B75" s="233" t="str">
        <f>+'2024'!B75</f>
        <v>Desarrollar estudios y diseños para el conocimiento de los diferentes riesgos ambientales del Departamento</v>
      </c>
      <c r="C75" s="233" t="str">
        <f>+'2024'!C75</f>
        <v>Número</v>
      </c>
      <c r="D75" s="233" t="str">
        <f>+'2024'!D75</f>
        <v># de proyectos realizados</v>
      </c>
      <c r="E75" s="232">
        <f>+'2024'!E75</f>
        <v>3</v>
      </c>
      <c r="F75" s="234">
        <f>+'2024'!F75</f>
        <v>312000000</v>
      </c>
      <c r="G75" s="232">
        <f>+'2025'!E75</f>
        <v>1</v>
      </c>
      <c r="H75" s="234">
        <f>+'2025'!F75</f>
        <v>80000000</v>
      </c>
      <c r="I75" s="232">
        <f>+'2026'!E75</f>
        <v>1</v>
      </c>
      <c r="J75" s="234">
        <f>+'2026'!F75</f>
        <v>150000000</v>
      </c>
      <c r="K75" s="232">
        <f>+'2027'!E75</f>
        <v>1</v>
      </c>
      <c r="L75" s="299">
        <f>+'2027'!F75</f>
        <v>150000000</v>
      </c>
      <c r="M75" s="307">
        <f t="shared" si="5"/>
        <v>6</v>
      </c>
      <c r="N75" s="234">
        <f t="shared" si="6"/>
        <v>692000000</v>
      </c>
    </row>
    <row r="76" spans="1:14" x14ac:dyDescent="0.25">
      <c r="A76" s="21" t="str">
        <f>+'2024'!A76</f>
        <v>PROYECTO 2.1.2</v>
      </c>
      <c r="B76" s="22" t="str">
        <f>+'2024'!B76</f>
        <v xml:space="preserve">Gestión para la adaptación y mitigación al cambio climático </v>
      </c>
      <c r="C76" s="22" t="str">
        <f>+'2024'!C76</f>
        <v>CÓDIGO DNP</v>
      </c>
      <c r="D76" s="222">
        <f>+'2024'!D76</f>
        <v>3206</v>
      </c>
      <c r="E76" s="23"/>
      <c r="F76" s="230">
        <f>+'2024'!F76</f>
        <v>70000000</v>
      </c>
      <c r="G76" s="231"/>
      <c r="H76" s="230">
        <f>+'2025'!F76</f>
        <v>350000000</v>
      </c>
      <c r="I76" s="231"/>
      <c r="J76" s="230">
        <f>+'2026'!F76</f>
        <v>460000000</v>
      </c>
      <c r="K76" s="231"/>
      <c r="L76" s="297">
        <f>+'2027'!F76</f>
        <v>480000000</v>
      </c>
      <c r="M76" s="230"/>
      <c r="N76" s="230">
        <f t="shared" si="6"/>
        <v>1360000000</v>
      </c>
    </row>
    <row r="77" spans="1:14" ht="25.5" x14ac:dyDescent="0.25">
      <c r="A77" s="24" t="str">
        <f>+'2024'!A77</f>
        <v>CODIGO</v>
      </c>
      <c r="B77" s="25" t="str">
        <f>+'2024'!B77</f>
        <v>ACCIONES 
(INFINITIVO)</v>
      </c>
      <c r="C77" s="25" t="str">
        <f>+'2024'!C77</f>
        <v>UNIDAD 
DE MEDIDA</v>
      </c>
      <c r="D77" s="25" t="str">
        <f>+'2024'!D77</f>
        <v>INDICADOR 
FÓRMULA</v>
      </c>
      <c r="E77" s="25" t="str">
        <f>+'2024'!E77</f>
        <v>Cantidad (2024)</v>
      </c>
      <c r="F77" s="25" t="str">
        <f>+'2024'!F77</f>
        <v>Inversión $ (2024)
 Asignado</v>
      </c>
      <c r="G77" s="25" t="str">
        <f>+'2025'!E77</f>
        <v>Cantidad (2025)</v>
      </c>
      <c r="H77" s="25" t="str">
        <f>+'2025'!F77</f>
        <v>Inversión $ (2025) 
Asignado</v>
      </c>
      <c r="I77" s="25" t="str">
        <f>+'2026'!E77</f>
        <v>Cantidad (2026)</v>
      </c>
      <c r="J77" s="25" t="str">
        <f>+'2026'!F77</f>
        <v>Inversión $ (2026) Asignado</v>
      </c>
      <c r="K77" s="25" t="str">
        <f>+'2027'!E77</f>
        <v>Cantidad(2027)</v>
      </c>
      <c r="L77" s="298" t="str">
        <f>+'2027'!F77</f>
        <v>Inversión $(2027)  
Asignado</v>
      </c>
      <c r="M77" s="308" t="s">
        <v>400</v>
      </c>
      <c r="N77" s="309" t="s">
        <v>401</v>
      </c>
    </row>
    <row r="78" spans="1:14" ht="31.5" x14ac:dyDescent="0.25">
      <c r="A78" s="232" t="str">
        <f>+'2024'!A78</f>
        <v>2.1.2.1</v>
      </c>
      <c r="B78" s="233" t="str">
        <f>+'2024'!B78</f>
        <v xml:space="preserve">Impulsar a los sectores a la medición de huella de carbono </v>
      </c>
      <c r="C78" s="233" t="str">
        <f>+'2024'!C78</f>
        <v>Número</v>
      </c>
      <c r="D78" s="233" t="str">
        <f>+'2024'!D78</f>
        <v># de Empresas que miden huella de carbono/año</v>
      </c>
      <c r="E78" s="232">
        <f>+'2024'!E78</f>
        <v>0</v>
      </c>
      <c r="F78" s="234">
        <f>+'2024'!F78</f>
        <v>0</v>
      </c>
      <c r="G78" s="232">
        <f>+'2025'!E78</f>
        <v>5</v>
      </c>
      <c r="H78" s="234">
        <f>+'2025'!F78</f>
        <v>50000000</v>
      </c>
      <c r="I78" s="232">
        <f>+'2026'!E78</f>
        <v>5</v>
      </c>
      <c r="J78" s="234">
        <f>+'2026'!F78</f>
        <v>50000000</v>
      </c>
      <c r="K78" s="232">
        <f>+'2027'!E78</f>
        <v>5</v>
      </c>
      <c r="L78" s="299">
        <f>+'2027'!F78</f>
        <v>50000000</v>
      </c>
      <c r="M78" s="307">
        <f t="shared" ref="M78:M82" si="7">E78+G78+I78+K78</f>
        <v>15</v>
      </c>
      <c r="N78" s="234">
        <f t="shared" si="6"/>
        <v>150000000</v>
      </c>
    </row>
    <row r="79" spans="1:14" ht="30" customHeight="1" x14ac:dyDescent="0.25">
      <c r="A79" s="232" t="str">
        <f>+'2024'!A79</f>
        <v>2.1.2.2</v>
      </c>
      <c r="B79" s="233" t="str">
        <f>+'2024'!B79</f>
        <v>Realizar acciones de reducción de Gases Efecto Invernadero - GEI en el sector ambiente</v>
      </c>
      <c r="C79" s="233" t="str">
        <f>+'2024'!C79</f>
        <v>Ton de CO2</v>
      </c>
      <c r="D79" s="233" t="str">
        <f>+'2024'!D79</f>
        <v>Ton CO2/año</v>
      </c>
      <c r="E79" s="232">
        <f>+'2024'!E79</f>
        <v>0</v>
      </c>
      <c r="F79" s="234">
        <f>+'2024'!F79</f>
        <v>0</v>
      </c>
      <c r="G79" s="232">
        <f>+'2025'!E79</f>
        <v>250</v>
      </c>
      <c r="H79" s="234">
        <f>+'2025'!F79</f>
        <v>50000000</v>
      </c>
      <c r="I79" s="232">
        <f>+'2026'!E79</f>
        <v>250</v>
      </c>
      <c r="J79" s="234">
        <f>+'2026'!F79</f>
        <v>50000000</v>
      </c>
      <c r="K79" s="232">
        <f>+'2027'!E79</f>
        <v>250</v>
      </c>
      <c r="L79" s="299">
        <f>+'2027'!F79</f>
        <v>50000000</v>
      </c>
      <c r="M79" s="307">
        <f t="shared" si="7"/>
        <v>750</v>
      </c>
      <c r="N79" s="234">
        <f t="shared" si="6"/>
        <v>150000000</v>
      </c>
    </row>
    <row r="80" spans="1:14" ht="32.25" customHeight="1" x14ac:dyDescent="0.25">
      <c r="A80" s="232" t="str">
        <f>+'2024'!A80</f>
        <v>2.1.2.3</v>
      </c>
      <c r="B80" s="233" t="str">
        <f>+'2024'!B80</f>
        <v>Implementar proyectos de forestería comunitaria con bonos de carbono</v>
      </c>
      <c r="C80" s="233" t="str">
        <f>+'2024'!C80</f>
        <v>Número</v>
      </c>
      <c r="D80" s="233" t="str">
        <f>+'2024'!D80</f>
        <v># de proyecto de forestería comunitaria</v>
      </c>
      <c r="E80" s="232">
        <f>+'2024'!E80</f>
        <v>0</v>
      </c>
      <c r="F80" s="234">
        <f>+'2024'!F80</f>
        <v>0</v>
      </c>
      <c r="G80" s="232">
        <f>+'2025'!E80</f>
        <v>1</v>
      </c>
      <c r="H80" s="234">
        <f>+'2025'!F80</f>
        <v>100000000</v>
      </c>
      <c r="I80" s="232">
        <f>+'2026'!E80</f>
        <v>1</v>
      </c>
      <c r="J80" s="234">
        <f>+'2026'!F80</f>
        <v>140000000</v>
      </c>
      <c r="K80" s="232">
        <f>+'2027'!E80</f>
        <v>1</v>
      </c>
      <c r="L80" s="299">
        <f>+'2027'!F80</f>
        <v>120000000</v>
      </c>
      <c r="M80" s="307">
        <v>1</v>
      </c>
      <c r="N80" s="234">
        <f t="shared" si="6"/>
        <v>360000000</v>
      </c>
    </row>
    <row r="81" spans="1:14" ht="47.25" x14ac:dyDescent="0.25">
      <c r="A81" s="232" t="str">
        <f>+'2024'!A81</f>
        <v>2.1.2.4</v>
      </c>
      <c r="B81" s="233" t="str">
        <f>+'2024'!B81</f>
        <v>Implementar acciones climáticas asociadas al PIGCC en los municipios del departamento de Caldas</v>
      </c>
      <c r="C81" s="233" t="str">
        <f>+'2024'!C81</f>
        <v>Número</v>
      </c>
      <c r="D81" s="233" t="str">
        <f>+'2024'!D81</f>
        <v xml:space="preserve"># de acciones realizadas por Corpocaldas en el marco del PIGCC </v>
      </c>
      <c r="E81" s="232">
        <f>+'2024'!E81</f>
        <v>1</v>
      </c>
      <c r="F81" s="234">
        <f>+'2024'!F81</f>
        <v>70000000</v>
      </c>
      <c r="G81" s="232">
        <f>+'2025'!E81</f>
        <v>2</v>
      </c>
      <c r="H81" s="234">
        <f>+'2025'!F81</f>
        <v>90000000</v>
      </c>
      <c r="I81" s="232">
        <f>+'2026'!E81</f>
        <v>2</v>
      </c>
      <c r="J81" s="234">
        <f>+'2026'!F81</f>
        <v>160000000</v>
      </c>
      <c r="K81" s="232">
        <f>+'2027'!E81</f>
        <v>2</v>
      </c>
      <c r="L81" s="299">
        <f>+'2027'!F81</f>
        <v>200000000</v>
      </c>
      <c r="M81" s="307">
        <f t="shared" si="7"/>
        <v>7</v>
      </c>
      <c r="N81" s="234">
        <f t="shared" si="6"/>
        <v>520000000</v>
      </c>
    </row>
    <row r="82" spans="1:14" ht="63" x14ac:dyDescent="0.25">
      <c r="A82" s="232" t="str">
        <f>+'2024'!A82</f>
        <v>2.1.2.5</v>
      </c>
      <c r="B82" s="233" t="str">
        <f>+'2024'!B82</f>
        <v>Realizar analisis de los efectos de la variabilidad y el cambio climático en el departamento, generando insumos para la toma de decisiones</v>
      </c>
      <c r="C82" s="233" t="str">
        <f>+'2024'!C82</f>
        <v>Número</v>
      </c>
      <c r="D82" s="233" t="str">
        <f>+'2024'!D82</f>
        <v># de analisis sobre los efectos de la variabilidad y el cambio climático en el departamento</v>
      </c>
      <c r="E82" s="232">
        <f>+'2024'!E82</f>
        <v>0</v>
      </c>
      <c r="F82" s="234">
        <f>+'2024'!F82</f>
        <v>0</v>
      </c>
      <c r="G82" s="232">
        <f>+'2025'!E82</f>
        <v>1</v>
      </c>
      <c r="H82" s="234">
        <f>+'2025'!F82</f>
        <v>60000000</v>
      </c>
      <c r="I82" s="232">
        <f>+'2026'!E82</f>
        <v>1</v>
      </c>
      <c r="J82" s="234">
        <f>+'2026'!F82</f>
        <v>60000000</v>
      </c>
      <c r="K82" s="232">
        <f>+'2027'!E82</f>
        <v>1</v>
      </c>
      <c r="L82" s="299">
        <f>+'2027'!F82</f>
        <v>60000000</v>
      </c>
      <c r="M82" s="307">
        <f t="shared" si="7"/>
        <v>3</v>
      </c>
      <c r="N82" s="234">
        <f t="shared" si="6"/>
        <v>180000000</v>
      </c>
    </row>
    <row r="83" spans="1:14" x14ac:dyDescent="0.25">
      <c r="A83" s="18" t="str">
        <f>+'2024'!A83</f>
        <v>PROGRAMA 2.2</v>
      </c>
      <c r="B83" s="221" t="str">
        <f>+'2024'!B83</f>
        <v>RESPONSABILIDAD AMBIENTAL SECTORIAL</v>
      </c>
      <c r="C83" s="356"/>
      <c r="D83" s="356"/>
      <c r="E83" s="356"/>
      <c r="F83" s="228">
        <f>+'2024'!F83</f>
        <v>430660000</v>
      </c>
      <c r="G83" s="229"/>
      <c r="H83" s="228">
        <f>+'2025'!F83</f>
        <v>1430000000</v>
      </c>
      <c r="I83" s="229"/>
      <c r="J83" s="228">
        <f>+'2026'!F83</f>
        <v>1540000000</v>
      </c>
      <c r="K83" s="229"/>
      <c r="L83" s="296">
        <f>+'2027'!F83</f>
        <v>1540000000</v>
      </c>
      <c r="M83" s="228"/>
      <c r="N83" s="228">
        <f t="shared" si="6"/>
        <v>4940660000</v>
      </c>
    </row>
    <row r="84" spans="1:14" x14ac:dyDescent="0.25">
      <c r="A84" s="21" t="str">
        <f>+'2024'!A84</f>
        <v>PROYECTO 2.2.1</v>
      </c>
      <c r="B84" s="22" t="str">
        <f>+'2024'!B84</f>
        <v xml:space="preserve">Bioeconomía y sostenibilidad </v>
      </c>
      <c r="C84" s="22" t="str">
        <f>+'2024'!C84</f>
        <v>CÓDIGO DNP</v>
      </c>
      <c r="D84" s="222">
        <f>+'2024'!D84</f>
        <v>3201</v>
      </c>
      <c r="E84" s="23"/>
      <c r="F84" s="230">
        <f>+'2024'!F84</f>
        <v>140000000</v>
      </c>
      <c r="G84" s="231"/>
      <c r="H84" s="230">
        <f>+'2025'!F84</f>
        <v>760000000</v>
      </c>
      <c r="I84" s="231"/>
      <c r="J84" s="230">
        <f>+'2026'!F84</f>
        <v>790000000</v>
      </c>
      <c r="K84" s="231"/>
      <c r="L84" s="297">
        <f>+'2027'!F84</f>
        <v>940000000</v>
      </c>
      <c r="M84" s="230"/>
      <c r="N84" s="230">
        <f t="shared" si="6"/>
        <v>2630000000</v>
      </c>
    </row>
    <row r="85" spans="1:14" ht="25.5" x14ac:dyDescent="0.25">
      <c r="A85" s="24" t="str">
        <f>+'2024'!A85</f>
        <v>CODIGO</v>
      </c>
      <c r="B85" s="25" t="str">
        <f>+'2024'!B85</f>
        <v>ACCIONES 
(INFINITIVO)</v>
      </c>
      <c r="C85" s="25" t="str">
        <f>+'2024'!C85</f>
        <v>UNIDAD 
DE MEDIDA</v>
      </c>
      <c r="D85" s="25" t="str">
        <f>+'2024'!D85</f>
        <v>INDICADOR 
FÓRMULA</v>
      </c>
      <c r="E85" s="25" t="str">
        <f>+'2024'!E85</f>
        <v>Cantidad (2024)</v>
      </c>
      <c r="F85" s="25" t="str">
        <f>+'2024'!F85</f>
        <v>Inversión $ (2024)
 Asignado</v>
      </c>
      <c r="G85" s="25" t="str">
        <f>+'2025'!E85</f>
        <v>Cantidad (2025)</v>
      </c>
      <c r="H85" s="25" t="str">
        <f>+'2025'!F85</f>
        <v>Inversión $ (2025) 
Asignado</v>
      </c>
      <c r="I85" s="25" t="str">
        <f>+'2026'!E85</f>
        <v>Cantidad (2026)</v>
      </c>
      <c r="J85" s="25" t="str">
        <f>+'2026'!F85</f>
        <v>Inversión $ (2026) Asignado</v>
      </c>
      <c r="K85" s="25" t="str">
        <f>+'2027'!E85</f>
        <v>Cantidad(2027)</v>
      </c>
      <c r="L85" s="298" t="str">
        <f>+'2027'!F85</f>
        <v>Inversión $(2027)  
Asignado</v>
      </c>
      <c r="M85" s="308" t="s">
        <v>400</v>
      </c>
      <c r="N85" s="309" t="s">
        <v>401</v>
      </c>
    </row>
    <row r="86" spans="1:14" ht="37.5" customHeight="1" x14ac:dyDescent="0.25">
      <c r="A86" s="232" t="str">
        <f>+'2024'!A86</f>
        <v>2.2.1.1</v>
      </c>
      <c r="B86" s="233" t="str">
        <f>+'2024'!B86</f>
        <v>Asistir técnicamente a los negocios verdes para su consolidación incluye verificación y asesoría</v>
      </c>
      <c r="C86" s="233" t="str">
        <f>+'2024'!C86</f>
        <v>Número</v>
      </c>
      <c r="D86" s="233" t="str">
        <f>+'2024'!D86</f>
        <v># de negocios verdes establecidos</v>
      </c>
      <c r="E86" s="232">
        <f>+'2024'!E86</f>
        <v>0</v>
      </c>
      <c r="F86" s="234">
        <f>+'2024'!F86</f>
        <v>0</v>
      </c>
      <c r="G86" s="232">
        <f>+'2025'!E86</f>
        <v>12</v>
      </c>
      <c r="H86" s="234">
        <f>+'2025'!F86</f>
        <v>120000000</v>
      </c>
      <c r="I86" s="232">
        <f>+'2026'!E86</f>
        <v>21</v>
      </c>
      <c r="J86" s="234">
        <f>+'2026'!F86</f>
        <v>200000000</v>
      </c>
      <c r="K86" s="232">
        <f>+'2027'!E86</f>
        <v>21</v>
      </c>
      <c r="L86" s="299">
        <f>+'2027'!F86</f>
        <v>220000000</v>
      </c>
      <c r="M86" s="307">
        <f t="shared" ref="M86:M88" si="8">E86+G86+I86+K86</f>
        <v>54</v>
      </c>
      <c r="N86" s="234">
        <f t="shared" si="6"/>
        <v>540000000</v>
      </c>
    </row>
    <row r="87" spans="1:14" ht="37.5" customHeight="1" x14ac:dyDescent="0.25">
      <c r="A87" s="232" t="str">
        <f>+'2024'!A87</f>
        <v>2.2.1.2</v>
      </c>
      <c r="B87" s="233" t="str">
        <f>+'2024'!B87</f>
        <v>Adelantar proyectos de Investigación Desarrollo e Innovación I+D+I en asuntos ambientales sectoriales</v>
      </c>
      <c r="C87" s="233" t="str">
        <f>+'2024'!C87</f>
        <v>Número</v>
      </c>
      <c r="D87" s="233" t="str">
        <f>+'2024'!D87</f>
        <v xml:space="preserve"># de proyectos de I+D+I </v>
      </c>
      <c r="E87" s="232">
        <f>+'2024'!E87</f>
        <v>0</v>
      </c>
      <c r="F87" s="234">
        <f>+'2024'!F87</f>
        <v>0</v>
      </c>
      <c r="G87" s="232">
        <f>+'2025'!E87</f>
        <v>1</v>
      </c>
      <c r="H87" s="234">
        <f>+'2025'!F87</f>
        <v>100000000</v>
      </c>
      <c r="I87" s="232">
        <f>+'2026'!E87</f>
        <v>1</v>
      </c>
      <c r="J87" s="234">
        <f>+'2026'!F87</f>
        <v>110000000</v>
      </c>
      <c r="K87" s="232">
        <f>+'2027'!E87</f>
        <v>1</v>
      </c>
      <c r="L87" s="299">
        <f>+'2027'!F87</f>
        <v>150000000</v>
      </c>
      <c r="M87" s="307">
        <f t="shared" si="8"/>
        <v>3</v>
      </c>
      <c r="N87" s="234">
        <f t="shared" si="6"/>
        <v>360000000</v>
      </c>
    </row>
    <row r="88" spans="1:14" ht="37.5" customHeight="1" x14ac:dyDescent="0.25">
      <c r="A88" s="232" t="str">
        <f>+'2024'!A88</f>
        <v>2.2.1.3</v>
      </c>
      <c r="B88" s="233" t="str">
        <f>+'2024'!B88</f>
        <v xml:space="preserve">Apoyar la implementación de proyectos en el marco de los PGIRS </v>
      </c>
      <c r="C88" s="233" t="str">
        <f>+'2024'!C88</f>
        <v>Número</v>
      </c>
      <c r="D88" s="233" t="str">
        <f>+'2024'!D88</f>
        <v># de municipios acompañados</v>
      </c>
      <c r="E88" s="232">
        <f>+'2024'!E88</f>
        <v>0</v>
      </c>
      <c r="F88" s="234">
        <f>+'2024'!F88</f>
        <v>0</v>
      </c>
      <c r="G88" s="232">
        <f>+'2025'!E88</f>
        <v>2</v>
      </c>
      <c r="H88" s="234">
        <f>+'2025'!F88</f>
        <v>130000000</v>
      </c>
      <c r="I88" s="232">
        <f>+'2026'!E88</f>
        <v>2</v>
      </c>
      <c r="J88" s="234">
        <f>+'2026'!F88</f>
        <v>140000000</v>
      </c>
      <c r="K88" s="232">
        <f>+'2027'!E88</f>
        <v>2</v>
      </c>
      <c r="L88" s="299">
        <f>+'2027'!F88</f>
        <v>180000000</v>
      </c>
      <c r="M88" s="307">
        <f t="shared" si="8"/>
        <v>6</v>
      </c>
      <c r="N88" s="234">
        <f t="shared" si="6"/>
        <v>450000000</v>
      </c>
    </row>
    <row r="89" spans="1:14" ht="37.5" customHeight="1" x14ac:dyDescent="0.25">
      <c r="A89" s="232" t="str">
        <f>+'2024'!A89</f>
        <v>2.2.1.4</v>
      </c>
      <c r="B89" s="233" t="str">
        <f>+'2024'!B89</f>
        <v xml:space="preserve">Actualizar e implementar acciones de las agendas ambientales sectoriales </v>
      </c>
      <c r="C89" s="233" t="str">
        <f>+'2024'!C89</f>
        <v>Número</v>
      </c>
      <c r="D89" s="233" t="str">
        <f>+'2024'!D89</f>
        <v># de agendas gestionadas</v>
      </c>
      <c r="E89" s="232">
        <f>+'2024'!E89</f>
        <v>8</v>
      </c>
      <c r="F89" s="234">
        <f>+'2024'!F89</f>
        <v>140000000</v>
      </c>
      <c r="G89" s="232">
        <f>+'2025'!E89</f>
        <v>8</v>
      </c>
      <c r="H89" s="234">
        <f>+'2025'!F89</f>
        <v>380000000</v>
      </c>
      <c r="I89" s="232">
        <f>+'2026'!E89</f>
        <v>8</v>
      </c>
      <c r="J89" s="234">
        <f>+'2026'!F89</f>
        <v>300000000</v>
      </c>
      <c r="K89" s="232">
        <f>+'2027'!E89</f>
        <v>8</v>
      </c>
      <c r="L89" s="299">
        <f>+'2027'!F89</f>
        <v>340000000</v>
      </c>
      <c r="M89" s="307">
        <v>8</v>
      </c>
      <c r="N89" s="234">
        <f t="shared" si="6"/>
        <v>1160000000</v>
      </c>
    </row>
    <row r="90" spans="1:14" ht="37.5" customHeight="1" x14ac:dyDescent="0.25">
      <c r="A90" s="232" t="str">
        <f>+'2024'!A90</f>
        <v>2.2.1.5</v>
      </c>
      <c r="B90" s="233" t="str">
        <f>+'2024'!B90</f>
        <v>Apoyar la implementacion del Plan de Gestión Integral de Residuos Peligrosos - RESPEL</v>
      </c>
      <c r="C90" s="233" t="str">
        <f>+'2024'!C90</f>
        <v>Número</v>
      </c>
      <c r="D90" s="233" t="str">
        <f>+'2024'!D90</f>
        <v xml:space="preserve"># de acciones apoyadas </v>
      </c>
      <c r="E90" s="232">
        <f>+'2024'!E90</f>
        <v>0</v>
      </c>
      <c r="F90" s="234">
        <f>+'2024'!F90</f>
        <v>0</v>
      </c>
      <c r="G90" s="232">
        <f>+'2025'!E90</f>
        <v>1</v>
      </c>
      <c r="H90" s="234">
        <f>+'2025'!F90</f>
        <v>30000000</v>
      </c>
      <c r="I90" s="232">
        <f>+'2026'!E90</f>
        <v>1</v>
      </c>
      <c r="J90" s="234">
        <f>+'2026'!F90</f>
        <v>40000000</v>
      </c>
      <c r="K90" s="232">
        <f>+'2027'!E90</f>
        <v>1</v>
      </c>
      <c r="L90" s="299">
        <f>+'2027'!F90</f>
        <v>50000000</v>
      </c>
      <c r="M90" s="307">
        <v>3</v>
      </c>
      <c r="N90" s="234">
        <f t="shared" ref="N90" si="9">+F90+H90+J90+L90</f>
        <v>120000000</v>
      </c>
    </row>
    <row r="91" spans="1:14" x14ac:dyDescent="0.25">
      <c r="A91" s="21" t="str">
        <f>+'2024'!A91</f>
        <v>PROYECTO 2.2.2</v>
      </c>
      <c r="B91" s="22" t="str">
        <f>+'2024'!B91</f>
        <v>Convergencia e integración ambiental regional</v>
      </c>
      <c r="C91" s="22" t="str">
        <f>+'2024'!C91</f>
        <v>CÓDIGO DNP</v>
      </c>
      <c r="D91" s="222">
        <f>+'2024'!D91</f>
        <v>3201</v>
      </c>
      <c r="E91" s="23"/>
      <c r="F91" s="230">
        <f>+'2024'!F91</f>
        <v>290660000</v>
      </c>
      <c r="G91" s="231"/>
      <c r="H91" s="230">
        <f>+'2025'!F91</f>
        <v>670000000</v>
      </c>
      <c r="I91" s="231"/>
      <c r="J91" s="230">
        <f>+'2026'!F91</f>
        <v>750000000</v>
      </c>
      <c r="K91" s="231">
        <f>+'2027'!E91</f>
        <v>0</v>
      </c>
      <c r="L91" s="297">
        <f>+'2027'!F91</f>
        <v>600000000</v>
      </c>
      <c r="M91" s="230"/>
      <c r="N91" s="230">
        <f t="shared" si="6"/>
        <v>2310660000</v>
      </c>
    </row>
    <row r="92" spans="1:14" ht="25.5" x14ac:dyDescent="0.25">
      <c r="A92" s="24" t="str">
        <f>+'2024'!A92</f>
        <v>CODIGO</v>
      </c>
      <c r="B92" s="25" t="str">
        <f>+'2024'!B92</f>
        <v>ACCIONES 
(INFINITIVO)</v>
      </c>
      <c r="C92" s="25" t="str">
        <f>+'2024'!C92</f>
        <v>UNIDAD 
DE MEDIDA</v>
      </c>
      <c r="D92" s="25" t="str">
        <f>+'2024'!D92</f>
        <v>INDICADOR 
FÓRMULA</v>
      </c>
      <c r="E92" s="25" t="str">
        <f>+'2024'!E92</f>
        <v>Cantidad (2024)</v>
      </c>
      <c r="F92" s="25" t="str">
        <f>+'2024'!F92</f>
        <v>Inversión $ (2024)
 Asignado</v>
      </c>
      <c r="G92" s="25" t="str">
        <f>+'2025'!E92</f>
        <v>Cantidad (2025)</v>
      </c>
      <c r="H92" s="25" t="str">
        <f>+'2025'!F92</f>
        <v>Inversión $ (2025) 
Asignado</v>
      </c>
      <c r="I92" s="25" t="str">
        <f>+'2026'!E92</f>
        <v>Cantidad (2026)</v>
      </c>
      <c r="J92" s="25" t="str">
        <f>+'2026'!F92</f>
        <v>Inversión $ (2026) Asignado</v>
      </c>
      <c r="K92" s="25" t="str">
        <f>+'2027'!E92</f>
        <v>Cantidad(2027)</v>
      </c>
      <c r="L92" s="298" t="str">
        <f>+'2027'!F92</f>
        <v>Inversión $(2027)  
Asignado</v>
      </c>
      <c r="M92" s="308" t="s">
        <v>400</v>
      </c>
      <c r="N92" s="309" t="s">
        <v>401</v>
      </c>
    </row>
    <row r="93" spans="1:14" ht="33.75" customHeight="1" x14ac:dyDescent="0.25">
      <c r="A93" s="232" t="str">
        <f>+'2024'!A93</f>
        <v>2.2.2.1</v>
      </c>
      <c r="B93" s="233" t="str">
        <f>+'2024'!B93</f>
        <v xml:space="preserve">Apoyar la gestión del Programa de sostenibilidad del Paisaje Cultural Cafetero PCCC </v>
      </c>
      <c r="C93" s="233" t="str">
        <f>+'2024'!C93</f>
        <v>Número</v>
      </c>
      <c r="D93" s="233" t="str">
        <f>+'2024'!D93</f>
        <v># de acciones apoyadas</v>
      </c>
      <c r="E93" s="232">
        <f>+'2024'!E93</f>
        <v>1</v>
      </c>
      <c r="F93" s="234">
        <f>+'2024'!F93</f>
        <v>0</v>
      </c>
      <c r="G93" s="232">
        <f>+'2025'!E93</f>
        <v>1</v>
      </c>
      <c r="H93" s="234">
        <f>+'2025'!F93</f>
        <v>70000000</v>
      </c>
      <c r="I93" s="232">
        <f>+'2026'!E93</f>
        <v>1</v>
      </c>
      <c r="J93" s="234">
        <f>+'2026'!F93</f>
        <v>100000000</v>
      </c>
      <c r="K93" s="232">
        <f>+'2027'!E93</f>
        <v>1</v>
      </c>
      <c r="L93" s="299">
        <f>+'2027'!F93</f>
        <v>100000000</v>
      </c>
      <c r="M93" s="307">
        <v>1</v>
      </c>
      <c r="N93" s="234">
        <f t="shared" si="6"/>
        <v>270000000</v>
      </c>
    </row>
    <row r="94" spans="1:14" ht="34.5" customHeight="1" x14ac:dyDescent="0.25">
      <c r="A94" s="232" t="str">
        <f>+'2024'!A94</f>
        <v>2.2.2.2</v>
      </c>
      <c r="B94" s="233" t="str">
        <f>+'2024'!B94</f>
        <v xml:space="preserve">Apoyar la Gestion de Plataformas colaborativas </v>
      </c>
      <c r="C94" s="233" t="str">
        <f>+'2024'!C94</f>
        <v>Número</v>
      </c>
      <c r="D94" s="233" t="str">
        <f>+'2024'!D94</f>
        <v># de Plataformas apoyadas</v>
      </c>
      <c r="E94" s="232">
        <f>+'2024'!E94</f>
        <v>3</v>
      </c>
      <c r="F94" s="234">
        <f>+'2024'!F94</f>
        <v>290660000</v>
      </c>
      <c r="G94" s="232">
        <f>+'2025'!E94</f>
        <v>4</v>
      </c>
      <c r="H94" s="234">
        <f>+'2025'!F94</f>
        <v>450000000</v>
      </c>
      <c r="I94" s="232">
        <f>+'2026'!E94</f>
        <v>4</v>
      </c>
      <c r="J94" s="234">
        <f>+'2026'!F94</f>
        <v>450000000</v>
      </c>
      <c r="K94" s="232">
        <f>+'2027'!E94</f>
        <v>4</v>
      </c>
      <c r="L94" s="299">
        <f>+'2027'!F94</f>
        <v>500000000</v>
      </c>
      <c r="M94" s="307">
        <v>4</v>
      </c>
      <c r="N94" s="234">
        <f t="shared" si="6"/>
        <v>1690660000</v>
      </c>
    </row>
    <row r="95" spans="1:14" ht="31.5" x14ac:dyDescent="0.25">
      <c r="A95" s="232" t="str">
        <f>+'2024'!A95</f>
        <v>2.2.2.3</v>
      </c>
      <c r="B95" s="233" t="str">
        <f>+'2024'!B95</f>
        <v>Diseñar e implementar agenda de colaboración con instituciones de Educacion Superior y Centros/Institutos de Investigación</v>
      </c>
      <c r="C95" s="233" t="str">
        <f>+'2024'!C95</f>
        <v>Número</v>
      </c>
      <c r="D95" s="233" t="str">
        <f>+'2024'!D95</f>
        <v>Agendas Gestionada</v>
      </c>
      <c r="E95" s="232">
        <f>+'2024'!E95</f>
        <v>0</v>
      </c>
      <c r="F95" s="234">
        <f>+'2024'!F95</f>
        <v>0</v>
      </c>
      <c r="G95" s="232">
        <f>+'2025'!E95</f>
        <v>1</v>
      </c>
      <c r="H95" s="234">
        <f>+'2025'!F95</f>
        <v>150000000</v>
      </c>
      <c r="I95" s="232">
        <f>+'2026'!E95</f>
        <v>1</v>
      </c>
      <c r="J95" s="234">
        <f>+'2026'!F95</f>
        <v>200000000</v>
      </c>
      <c r="K95" s="232">
        <f>+'2027'!E95</f>
        <v>0</v>
      </c>
      <c r="L95" s="299">
        <f>+'2027'!F95</f>
        <v>0</v>
      </c>
      <c r="M95" s="307">
        <v>1</v>
      </c>
      <c r="N95" s="234">
        <f t="shared" si="6"/>
        <v>350000000</v>
      </c>
    </row>
    <row r="96" spans="1:14" x14ac:dyDescent="0.25">
      <c r="A96" s="16" t="str">
        <f>+'2024'!A96</f>
        <v>PILAR 3</v>
      </c>
      <c r="B96" s="220" t="str">
        <f>+'2024'!B96</f>
        <v>APROPIACIÓN DEL BIOTERRITORIO</v>
      </c>
      <c r="C96" s="357"/>
      <c r="D96" s="357"/>
      <c r="E96" s="357"/>
      <c r="F96" s="226">
        <f>+'2024'!F96</f>
        <v>5642384032</v>
      </c>
      <c r="G96" s="227"/>
      <c r="H96" s="226">
        <f>+'2025'!F96</f>
        <v>9308311000</v>
      </c>
      <c r="I96" s="227"/>
      <c r="J96" s="226">
        <f>+'2026'!F96</f>
        <v>8861871000</v>
      </c>
      <c r="K96" s="227"/>
      <c r="L96" s="295">
        <f>+'2027'!F96</f>
        <v>9644449000</v>
      </c>
      <c r="M96" s="226"/>
      <c r="N96" s="226">
        <f t="shared" si="6"/>
        <v>33457015032</v>
      </c>
    </row>
    <row r="97" spans="1:14" x14ac:dyDescent="0.25">
      <c r="A97" s="18" t="str">
        <f>+'2024'!A97</f>
        <v>PROGRAMA 3.1</v>
      </c>
      <c r="B97" s="221" t="str">
        <f>+'2024'!B97</f>
        <v>GOBERNABILIDAD DEL BIOTERRITORIO</v>
      </c>
      <c r="C97" s="356"/>
      <c r="D97" s="356"/>
      <c r="E97" s="356"/>
      <c r="F97" s="228">
        <f>+'2024'!F97</f>
        <v>3221566663</v>
      </c>
      <c r="G97" s="229"/>
      <c r="H97" s="228">
        <f>+'2025'!F97</f>
        <v>4784034979</v>
      </c>
      <c r="I97" s="229"/>
      <c r="J97" s="228">
        <f>+'2026'!F97</f>
        <v>4731871000</v>
      </c>
      <c r="K97" s="229"/>
      <c r="L97" s="296">
        <f>+'2027'!F97</f>
        <v>4807449000</v>
      </c>
      <c r="M97" s="228"/>
      <c r="N97" s="228">
        <f t="shared" si="6"/>
        <v>17544921642</v>
      </c>
    </row>
    <row r="98" spans="1:14" x14ac:dyDescent="0.25">
      <c r="A98" s="21" t="str">
        <f>+'2024'!A98</f>
        <v>PROYECTO 3.1.1</v>
      </c>
      <c r="B98" s="22" t="str">
        <f>+'2024'!B98</f>
        <v>Autoridad ambiental del bioterritorio</v>
      </c>
      <c r="C98" s="22" t="str">
        <f>+'2024'!C98</f>
        <v>CÓDIGO DNP</v>
      </c>
      <c r="D98" s="222">
        <f>+'2024'!D98</f>
        <v>3201</v>
      </c>
      <c r="E98" s="23"/>
      <c r="F98" s="230">
        <f>+'2024'!F98</f>
        <v>1565013359</v>
      </c>
      <c r="G98" s="231"/>
      <c r="H98" s="230">
        <f>+'2025'!F98</f>
        <v>3384034979</v>
      </c>
      <c r="I98" s="231"/>
      <c r="J98" s="230">
        <f>+'2026'!F98</f>
        <v>3231871000</v>
      </c>
      <c r="K98" s="231"/>
      <c r="L98" s="297">
        <f>+'2027'!F98</f>
        <v>3127449000</v>
      </c>
      <c r="M98" s="230"/>
      <c r="N98" s="230">
        <f t="shared" si="6"/>
        <v>11308368338</v>
      </c>
    </row>
    <row r="99" spans="1:14" ht="25.5" x14ac:dyDescent="0.25">
      <c r="A99" s="24" t="str">
        <f>+'2024'!A99</f>
        <v>CODIGO</v>
      </c>
      <c r="B99" s="25" t="str">
        <f>+'2024'!B99</f>
        <v>ACCIONES 
(INFINITIVO)</v>
      </c>
      <c r="C99" s="25" t="str">
        <f>+'2024'!C99</f>
        <v>UNIDAD 
DE MEDIDA</v>
      </c>
      <c r="D99" s="25" t="str">
        <f>+'2024'!D99</f>
        <v>INDICADOR 
FÓRMULA</v>
      </c>
      <c r="E99" s="25" t="str">
        <f>+'2024'!E99</f>
        <v>Cantidad (2024)</v>
      </c>
      <c r="F99" s="25" t="str">
        <f>+'2024'!F99</f>
        <v>Inversión $ (2024)
 Asignado</v>
      </c>
      <c r="G99" s="25" t="str">
        <f>+'2025'!E99</f>
        <v>Cantidad (2025)</v>
      </c>
      <c r="H99" s="25" t="str">
        <f>+'2025'!F99</f>
        <v>Inversión $ (2025) 
Asignado</v>
      </c>
      <c r="I99" s="25" t="str">
        <f>+'2026'!E99</f>
        <v>Cantidad (2026)</v>
      </c>
      <c r="J99" s="25" t="str">
        <f>+'2026'!F99</f>
        <v>Inversión $ (2026) Asignado</v>
      </c>
      <c r="K99" s="25" t="str">
        <f>+'2027'!E99</f>
        <v>Cantidad(2027)</v>
      </c>
      <c r="L99" s="298" t="str">
        <f>+'2027'!F99</f>
        <v>Inversión $(2027)  
Asignado</v>
      </c>
      <c r="M99" s="308" t="s">
        <v>400</v>
      </c>
      <c r="N99" s="309" t="s">
        <v>401</v>
      </c>
    </row>
    <row r="100" spans="1:14" ht="63" x14ac:dyDescent="0.25">
      <c r="A100" s="232" t="str">
        <f>+'2024'!A100</f>
        <v>3.1.1.1</v>
      </c>
      <c r="B100" s="233" t="str">
        <f>+'2024'!B100</f>
        <v>Establecer los lineamientos generales y consolidar los criterios técnicos, que permitan fortalecer la objetividad, oportunidad y transparencia en los procesos de evaluación ambiental, contribuyendo al desarrollo sostenible del país</v>
      </c>
      <c r="C100" s="233" t="str">
        <f>+'2024'!C100</f>
        <v>Número</v>
      </c>
      <c r="D100" s="233" t="str">
        <f>+'2024'!D100</f>
        <v xml:space="preserve"># de documentos formulados y socializados </v>
      </c>
      <c r="E100" s="232">
        <f>+'2024'!E100</f>
        <v>16</v>
      </c>
      <c r="F100" s="234">
        <f>+'2024'!F100</f>
        <v>0</v>
      </c>
      <c r="G100" s="232">
        <f>+'2025'!E100</f>
        <v>16</v>
      </c>
      <c r="H100" s="234">
        <f>+'2025'!F100</f>
        <v>0</v>
      </c>
      <c r="I100" s="232">
        <f>+'2026'!E100</f>
        <v>16</v>
      </c>
      <c r="J100" s="234">
        <f>+'2026'!F100</f>
        <v>0</v>
      </c>
      <c r="K100" s="232">
        <f>+'2027'!E100</f>
        <v>16</v>
      </c>
      <c r="L100" s="299">
        <f>+'2027'!F100</f>
        <v>0</v>
      </c>
      <c r="M100" s="307">
        <v>16</v>
      </c>
      <c r="N100" s="234">
        <f t="shared" si="6"/>
        <v>0</v>
      </c>
    </row>
    <row r="101" spans="1:14" ht="47.25" x14ac:dyDescent="0.25">
      <c r="A101" s="232" t="str">
        <f>+'2024'!A101</f>
        <v>3.1.1.2</v>
      </c>
      <c r="B101" s="233" t="str">
        <f>+'2024'!B101</f>
        <v>Implementar el funcionamiento de la plataforma de recepción de trámites ambientales en linea a través de la página web de la entidad</v>
      </c>
      <c r="C101" s="233" t="str">
        <f>+'2024'!C101</f>
        <v>Numero</v>
      </c>
      <c r="D101" s="233" t="str">
        <f>+'2024'!D101</f>
        <v xml:space="preserve"># de trámites en linea </v>
      </c>
      <c r="E101" s="232">
        <f>+'2024'!E101</f>
        <v>1</v>
      </c>
      <c r="F101" s="234">
        <f>+'2024'!F101</f>
        <v>0</v>
      </c>
      <c r="G101" s="232">
        <f>+'2025'!E101</f>
        <v>2</v>
      </c>
      <c r="H101" s="234">
        <f>+'2025'!F101</f>
        <v>0</v>
      </c>
      <c r="I101" s="232">
        <f>+'2026'!E101</f>
        <v>2</v>
      </c>
      <c r="J101" s="234">
        <f>+'2026'!F101</f>
        <v>0</v>
      </c>
      <c r="K101" s="232">
        <f>+'2027'!E101</f>
        <v>1</v>
      </c>
      <c r="L101" s="299">
        <f>+'2027'!F101</f>
        <v>0</v>
      </c>
      <c r="M101" s="307">
        <f t="shared" ref="M101:M108" si="10">E101+G101+I101+K101</f>
        <v>6</v>
      </c>
      <c r="N101" s="234">
        <f t="shared" si="6"/>
        <v>0</v>
      </c>
    </row>
    <row r="102" spans="1:14" ht="31.5" x14ac:dyDescent="0.25">
      <c r="A102" s="232" t="str">
        <f>+'2024'!A102</f>
        <v>3.1.1.3</v>
      </c>
      <c r="B102" s="233" t="str">
        <f>+'2024'!B102</f>
        <v>Actualizar las tablas de cobro e implementar metodos de  Autoliquidacion de tramites sujetos a pago y pago en linea</v>
      </c>
      <c r="C102" s="233" t="str">
        <f>+'2024'!C102</f>
        <v>Número</v>
      </c>
      <c r="D102" s="233" t="str">
        <f>+'2024'!D102</f>
        <v xml:space="preserve"># pagos de tramites en linea con autoliquidación </v>
      </c>
      <c r="E102" s="232">
        <f>+'2024'!E102</f>
        <v>3</v>
      </c>
      <c r="F102" s="234">
        <f>+'2024'!F102</f>
        <v>0</v>
      </c>
      <c r="G102" s="232">
        <f>+'2025'!E102</f>
        <v>4</v>
      </c>
      <c r="H102" s="234">
        <f>+'2025'!F102</f>
        <v>0</v>
      </c>
      <c r="I102" s="232">
        <f>+'2026'!E102</f>
        <v>3</v>
      </c>
      <c r="J102" s="234">
        <f>+'2026'!F102</f>
        <v>0</v>
      </c>
      <c r="K102" s="232">
        <v>0</v>
      </c>
      <c r="L102" s="299">
        <f>+'2027'!F102</f>
        <v>0</v>
      </c>
      <c r="M102" s="307">
        <f>E102+G102+I102+K102</f>
        <v>10</v>
      </c>
      <c r="N102" s="234">
        <f t="shared" si="6"/>
        <v>0</v>
      </c>
    </row>
    <row r="103" spans="1:14" ht="47.25" x14ac:dyDescent="0.25">
      <c r="A103" s="232" t="str">
        <f>+'2024'!A103</f>
        <v>3.1.1.4</v>
      </c>
      <c r="B103" s="233" t="str">
        <f>+'2024'!B103</f>
        <v>Cargar y validar la información geografica de expedientes activos en los sistemas de información de la entidad - Licenciamiento ambiental</v>
      </c>
      <c r="C103" s="233" t="str">
        <f>+'2024'!C103</f>
        <v>Número</v>
      </c>
      <c r="D103" s="233" t="str">
        <f>+'2024'!D103</f>
        <v># de expedientes con informaicón geográfica cargada y validada</v>
      </c>
      <c r="E103" s="232">
        <f>+'2024'!E103</f>
        <v>20</v>
      </c>
      <c r="F103" s="234">
        <f>+'2024'!F103</f>
        <v>0</v>
      </c>
      <c r="G103" s="232">
        <f>+'2025'!E103</f>
        <v>50</v>
      </c>
      <c r="H103" s="234">
        <f>+'2025'!F103</f>
        <v>0</v>
      </c>
      <c r="I103" s="232">
        <f>+'2026'!E103</f>
        <v>50</v>
      </c>
      <c r="J103" s="234">
        <f>+'2026'!F103</f>
        <v>0</v>
      </c>
      <c r="K103" s="232">
        <f>+'2027'!E103</f>
        <v>34</v>
      </c>
      <c r="L103" s="299">
        <f>+'2027'!F103</f>
        <v>0</v>
      </c>
      <c r="M103" s="307">
        <f t="shared" si="10"/>
        <v>154</v>
      </c>
      <c r="N103" s="234">
        <f t="shared" si="6"/>
        <v>0</v>
      </c>
    </row>
    <row r="104" spans="1:14" ht="51" customHeight="1" x14ac:dyDescent="0.25">
      <c r="A104" s="232" t="str">
        <f>+'2024'!A104</f>
        <v>3.1.1.5</v>
      </c>
      <c r="B104" s="233" t="str">
        <f>+'2024'!B104</f>
        <v>Evaluar las solicitudes de permisos y licencias ambientales  en los tiempos establecidos en la normatividad ambiental vigente.</v>
      </c>
      <c r="C104" s="233" t="str">
        <f>+'2024'!C104</f>
        <v>Número</v>
      </c>
      <c r="D104" s="233" t="str">
        <f>+'2024'!D104</f>
        <v xml:space="preserve"># de tramites resueltos con el cumplimiento de tiempos de norma </v>
      </c>
      <c r="E104" s="232">
        <f>+'2024'!E104</f>
        <v>96</v>
      </c>
      <c r="F104" s="234">
        <f>+'2024'!F104</f>
        <v>254645000</v>
      </c>
      <c r="G104" s="232">
        <f>+'2025'!E104</f>
        <v>293</v>
      </c>
      <c r="H104" s="234">
        <f>+'2025'!F104</f>
        <v>634647600</v>
      </c>
      <c r="I104" s="232">
        <f>+'2026'!E104</f>
        <v>313</v>
      </c>
      <c r="J104" s="234">
        <f>+'2026'!F104</f>
        <v>781381717</v>
      </c>
      <c r="K104" s="232">
        <f>+'2027'!E104</f>
        <v>324</v>
      </c>
      <c r="L104" s="299">
        <f>+'2027'!F104</f>
        <v>511090559</v>
      </c>
      <c r="M104" s="307">
        <f t="shared" si="10"/>
        <v>1026</v>
      </c>
      <c r="N104" s="234">
        <f t="shared" si="6"/>
        <v>2181764876</v>
      </c>
    </row>
    <row r="105" spans="1:14" ht="31.5" x14ac:dyDescent="0.25">
      <c r="A105" s="232" t="str">
        <f>+'2024'!A105</f>
        <v>3.1.1.6</v>
      </c>
      <c r="B105" s="233" t="str">
        <f>+'2024'!B105</f>
        <v>Resolver técnicamente los diferentes trámites y permisos que se tienen como pasivos con corte a vigencia 2023</v>
      </c>
      <c r="C105" s="233" t="str">
        <f>+'2024'!C105</f>
        <v>Número</v>
      </c>
      <c r="D105" s="233" t="str">
        <f>+'2024'!D105</f>
        <v># de pasivos resueltos</v>
      </c>
      <c r="E105" s="232">
        <f>+'2024'!E105</f>
        <v>170</v>
      </c>
      <c r="F105" s="234">
        <f>+'2024'!F105</f>
        <v>81593855</v>
      </c>
      <c r="G105" s="232">
        <f>+'2025'!E105</f>
        <v>255</v>
      </c>
      <c r="H105" s="234">
        <f>+'2025'!F105</f>
        <v>174613910</v>
      </c>
      <c r="I105" s="232">
        <f>+'2026'!E105</f>
        <v>0</v>
      </c>
      <c r="J105" s="234">
        <f>+'2026'!F105</f>
        <v>0</v>
      </c>
      <c r="K105" s="232">
        <f>+'2027'!E105</f>
        <v>0</v>
      </c>
      <c r="L105" s="299">
        <f>+'2027'!F105</f>
        <v>0</v>
      </c>
      <c r="M105" s="307">
        <f t="shared" si="10"/>
        <v>425</v>
      </c>
      <c r="N105" s="234">
        <f t="shared" si="6"/>
        <v>256207765</v>
      </c>
    </row>
    <row r="106" spans="1:14" ht="47.25" x14ac:dyDescent="0.25">
      <c r="A106" s="232" t="str">
        <f>+'2024'!A106</f>
        <v>3.1.1.7</v>
      </c>
      <c r="B106" s="233" t="str">
        <f>+'2024'!B106</f>
        <v>Realizar cobertura del seguimiento (Documental, con visita o espacial) a los expedientes activos para cada uno de los trámites competencia de la entidad.</v>
      </c>
      <c r="C106" s="233" t="str">
        <f>+'2024'!C106</f>
        <v>Número</v>
      </c>
      <c r="D106" s="233" t="str">
        <f>+'2024'!D106</f>
        <v xml:space="preserve"># de seguimientos </v>
      </c>
      <c r="E106" s="232">
        <f>+'2024'!E106</f>
        <v>635</v>
      </c>
      <c r="F106" s="234">
        <f>+'2024'!F106</f>
        <v>369950400</v>
      </c>
      <c r="G106" s="232">
        <f>+'2025'!E106</f>
        <v>1138</v>
      </c>
      <c r="H106" s="234">
        <f>+'2025'!F106</f>
        <v>804627453</v>
      </c>
      <c r="I106" s="232">
        <f>+'2026'!E106</f>
        <v>1413</v>
      </c>
      <c r="J106" s="234">
        <f>+'2026'!F106</f>
        <v>1184046404</v>
      </c>
      <c r="K106" s="232">
        <f>+'2027'!E106</f>
        <v>2001</v>
      </c>
      <c r="L106" s="299">
        <f>+'2027'!F106</f>
        <v>1577553886</v>
      </c>
      <c r="M106" s="307">
        <f t="shared" si="10"/>
        <v>5187</v>
      </c>
      <c r="N106" s="234">
        <f t="shared" si="6"/>
        <v>3936178143</v>
      </c>
    </row>
    <row r="107" spans="1:14" ht="31.5" x14ac:dyDescent="0.25">
      <c r="A107" s="232" t="str">
        <f>+'2024'!A107</f>
        <v>3.1.1.8</v>
      </c>
      <c r="B107" s="233" t="str">
        <f>+'2024'!B107</f>
        <v>Realizar el seguimiento, control y monitoreo a los recursos naturales, frente a la atención de PQRs y/o acciones preventivas</v>
      </c>
      <c r="C107" s="233" t="str">
        <f>+'2024'!C107</f>
        <v>Número</v>
      </c>
      <c r="D107" s="233" t="str">
        <f>+'2024'!D107</f>
        <v># de seguimientos de control y monitoreo</v>
      </c>
      <c r="E107" s="232">
        <f>+'2024'!E107</f>
        <v>634</v>
      </c>
      <c r="F107" s="234">
        <f>+'2024'!F107</f>
        <v>341410000</v>
      </c>
      <c r="G107" s="232">
        <f>+'2025'!E107</f>
        <v>1000</v>
      </c>
      <c r="H107" s="234">
        <f>+'2025'!F107</f>
        <v>938400000</v>
      </c>
      <c r="I107" s="232">
        <f>+'2026'!E107</f>
        <v>900</v>
      </c>
      <c r="J107" s="234">
        <f>+'2026'!F107</f>
        <v>705530000</v>
      </c>
      <c r="K107" s="232">
        <f>+'2027'!E107</f>
        <v>775</v>
      </c>
      <c r="L107" s="299">
        <f>+'2027'!F107</f>
        <v>659455200</v>
      </c>
      <c r="M107" s="307">
        <f t="shared" si="10"/>
        <v>3309</v>
      </c>
      <c r="N107" s="234">
        <f t="shared" si="6"/>
        <v>2644795200</v>
      </c>
    </row>
    <row r="108" spans="1:14" ht="47.25" x14ac:dyDescent="0.25">
      <c r="A108" s="232" t="str">
        <f>+'2024'!A108</f>
        <v>3.1.1.9</v>
      </c>
      <c r="B108" s="233" t="str">
        <f>+'2024'!B108</f>
        <v>Gestionar el proceso de cierre de procesos sancionatorios y permisos en el marco del seguimiento a trámites y permisos competencia de la entidad con vigencia al 2023</v>
      </c>
      <c r="C108" s="233" t="str">
        <f>+'2024'!C108</f>
        <v>Número</v>
      </c>
      <c r="D108" s="233" t="str">
        <f>+'2024'!D108</f>
        <v>Cantidad de sancionatorios y trámites cerrados</v>
      </c>
      <c r="E108" s="232">
        <f>+'2024'!E108</f>
        <v>500</v>
      </c>
      <c r="F108" s="234">
        <f>+'2024'!F108</f>
        <v>300000000</v>
      </c>
      <c r="G108" s="232">
        <f>+'2025'!E108</f>
        <v>800</v>
      </c>
      <c r="H108" s="234">
        <f>+'2025'!F108</f>
        <v>424287600</v>
      </c>
      <c r="I108" s="232">
        <f>+'2026'!E108</f>
        <v>450</v>
      </c>
      <c r="J108" s="234">
        <f>+'2026'!F108</f>
        <v>197692345</v>
      </c>
      <c r="K108" s="232">
        <f>+'2027'!E108</f>
        <v>0</v>
      </c>
      <c r="L108" s="299">
        <f>+'2027'!F108</f>
        <v>0</v>
      </c>
      <c r="M108" s="307">
        <f t="shared" si="10"/>
        <v>1750</v>
      </c>
      <c r="N108" s="234">
        <f t="shared" si="6"/>
        <v>921979945</v>
      </c>
    </row>
    <row r="109" spans="1:14" ht="47.25" x14ac:dyDescent="0.25">
      <c r="A109" s="232" t="str">
        <f>+'2024'!A109</f>
        <v>3.1.1.10</v>
      </c>
      <c r="B109" s="233" t="str">
        <f>+'2024'!B109</f>
        <v>Impulsar juridicamente los procesos sancionatorios recibidos en la vigencia</v>
      </c>
      <c r="C109" s="233" t="str">
        <f>+'2024'!C109</f>
        <v>Porcentaje</v>
      </c>
      <c r="D109" s="233" t="str">
        <f>+'2024'!D109</f>
        <v> % de procesos sancionatorios de la vigencia atendidos</v>
      </c>
      <c r="E109" s="232">
        <f>+'2024'!E109</f>
        <v>100</v>
      </c>
      <c r="F109" s="234">
        <f>+'2024'!F109</f>
        <v>120000504</v>
      </c>
      <c r="G109" s="232">
        <f>+'2025'!E109</f>
        <v>100</v>
      </c>
      <c r="H109" s="234">
        <f>+'2025'!F109</f>
        <v>250000000</v>
      </c>
      <c r="I109" s="232">
        <f>+'2026'!E109</f>
        <v>100</v>
      </c>
      <c r="J109" s="234">
        <f>+'2026'!F109</f>
        <v>196889197</v>
      </c>
      <c r="K109" s="232">
        <f>+'2027'!E109</f>
        <v>100</v>
      </c>
      <c r="L109" s="299">
        <f>+'2027'!F109</f>
        <v>205564765</v>
      </c>
      <c r="M109" s="307">
        <v>100</v>
      </c>
      <c r="N109" s="234">
        <f t="shared" si="6"/>
        <v>772454466</v>
      </c>
    </row>
    <row r="110" spans="1:14" ht="47.25" x14ac:dyDescent="0.25">
      <c r="A110" s="232" t="str">
        <f>+'2024'!A110</f>
        <v>3.1.1.11</v>
      </c>
      <c r="B110" s="233" t="str">
        <f>+'2024'!B110</f>
        <v>Gestión jurídica a los trámites y/o permisos ambientales priorizados en la entidad</v>
      </c>
      <c r="C110" s="233" t="str">
        <f>+'2024'!C110</f>
        <v>Porcentaje</v>
      </c>
      <c r="D110" s="233" t="str">
        <f>+'2024'!D110</f>
        <v>% de tramites y/o permisos ambientales atendidos</v>
      </c>
      <c r="E110" s="232">
        <f>+'2024'!E110</f>
        <v>100</v>
      </c>
      <c r="F110" s="234">
        <f>+'2024'!F110</f>
        <v>97413600</v>
      </c>
      <c r="G110" s="232">
        <f>+'2025'!E110</f>
        <v>100</v>
      </c>
      <c r="H110" s="234">
        <f>+'2025'!F110</f>
        <v>157458416</v>
      </c>
      <c r="I110" s="232">
        <f>+'2026'!E110</f>
        <v>100</v>
      </c>
      <c r="J110" s="234">
        <f>+'2026'!F110</f>
        <v>166331337</v>
      </c>
      <c r="K110" s="232">
        <f>+'2027'!E110</f>
        <v>100</v>
      </c>
      <c r="L110" s="299">
        <f>+'2027'!F110</f>
        <v>173784590</v>
      </c>
      <c r="M110" s="307">
        <v>100</v>
      </c>
      <c r="N110" s="234">
        <f t="shared" si="6"/>
        <v>594987943</v>
      </c>
    </row>
    <row r="111" spans="1:14" x14ac:dyDescent="0.25">
      <c r="A111" s="21" t="str">
        <f>+'2024'!A111</f>
        <v>PROYECTO 3.1.2</v>
      </c>
      <c r="B111" s="22" t="str">
        <f>+'2024'!B111</f>
        <v>Gestión financiera</v>
      </c>
      <c r="C111" s="22" t="str">
        <f>+'2024'!C111</f>
        <v>CODIGO DNP</v>
      </c>
      <c r="D111" s="222">
        <f>+'2024'!D111</f>
        <v>3299</v>
      </c>
      <c r="E111" s="23"/>
      <c r="F111" s="230">
        <f>+'2024'!F111</f>
        <v>70000000</v>
      </c>
      <c r="G111" s="231"/>
      <c r="H111" s="230">
        <f>+'2025'!F111</f>
        <v>180000000</v>
      </c>
      <c r="I111" s="231"/>
      <c r="J111" s="230">
        <f>+'2026'!F111</f>
        <v>220000000</v>
      </c>
      <c r="K111" s="231"/>
      <c r="L111" s="297">
        <f>+'2027'!F111</f>
        <v>250000000</v>
      </c>
      <c r="M111" s="230"/>
      <c r="N111" s="230">
        <f t="shared" si="6"/>
        <v>720000000</v>
      </c>
    </row>
    <row r="112" spans="1:14" ht="25.5" x14ac:dyDescent="0.25">
      <c r="A112" s="24" t="str">
        <f>+'2024'!A112</f>
        <v>CODIGO</v>
      </c>
      <c r="B112" s="25" t="str">
        <f>+'2024'!B112</f>
        <v>ACCIONES 
(INFINITIVO)</v>
      </c>
      <c r="C112" s="25" t="str">
        <f>+'2024'!C112</f>
        <v>UNIDAD 
DE MEDIDA</v>
      </c>
      <c r="D112" s="25" t="str">
        <f>+'2024'!D112</f>
        <v>INDICADOR 
FÓRMULA</v>
      </c>
      <c r="E112" s="25" t="str">
        <f>+'2024'!E112</f>
        <v>Cantidad (2024)</v>
      </c>
      <c r="F112" s="25" t="str">
        <f>+'2024'!F112</f>
        <v>Inversión $ (2024)
 Asignado</v>
      </c>
      <c r="G112" s="25" t="str">
        <f>+'2025'!E112</f>
        <v>Cantidad (2025)</v>
      </c>
      <c r="H112" s="25" t="str">
        <f>+'2025'!F112</f>
        <v>Inversión $ (2025) 
Asignado</v>
      </c>
      <c r="I112" s="25" t="str">
        <f>+'2026'!E112</f>
        <v>Cantidad (2026)</v>
      </c>
      <c r="J112" s="25" t="str">
        <f>+'2026'!F112</f>
        <v>Inversión $ (2026) Asignado</v>
      </c>
      <c r="K112" s="25" t="str">
        <f>+'2027'!E112</f>
        <v>Cantidad(2027)</v>
      </c>
      <c r="L112" s="298" t="str">
        <f>+'2027'!F112</f>
        <v>Inversión $(2027)  
Asignado</v>
      </c>
      <c r="M112" s="308" t="s">
        <v>400</v>
      </c>
      <c r="N112" s="309" t="s">
        <v>401</v>
      </c>
    </row>
    <row r="113" spans="1:14" ht="63" x14ac:dyDescent="0.25">
      <c r="A113" s="232" t="str">
        <f>+'2024'!A113</f>
        <v>3.1.2.1</v>
      </c>
      <c r="B113" s="233" t="str">
        <f>+'2024'!B113</f>
        <v>Realizar convenios para apoyar la conservación y/o la actualización catastral</v>
      </c>
      <c r="C113" s="233" t="str">
        <f>+'2024'!C113</f>
        <v>Número</v>
      </c>
      <c r="D113" s="233" t="str">
        <f>+'2024'!D113</f>
        <v># de Convenios ejecutados para la conservación y/o la actualización catastral</v>
      </c>
      <c r="E113" s="232">
        <v>0</v>
      </c>
      <c r="F113" s="234">
        <f>+'2024'!F113</f>
        <v>0</v>
      </c>
      <c r="G113" s="232">
        <f>+'2025'!E113</f>
        <v>0</v>
      </c>
      <c r="H113" s="234">
        <f>+'2025'!F113</f>
        <v>0</v>
      </c>
      <c r="I113" s="232">
        <f>+'2026'!E113</f>
        <v>0</v>
      </c>
      <c r="J113" s="234">
        <f>+'2026'!F113</f>
        <v>0</v>
      </c>
      <c r="K113" s="232">
        <v>0</v>
      </c>
      <c r="L113" s="299">
        <f>+'2027'!F113</f>
        <v>0</v>
      </c>
      <c r="M113" s="307">
        <f t="shared" ref="M113:M114" si="11">E113+G113+I113+K113</f>
        <v>0</v>
      </c>
      <c r="N113" s="234">
        <f t="shared" si="6"/>
        <v>0</v>
      </c>
    </row>
    <row r="114" spans="1:14" ht="47.25" x14ac:dyDescent="0.25">
      <c r="A114" s="232" t="str">
        <f>+'2024'!A114</f>
        <v>3.1.2.2</v>
      </c>
      <c r="B114" s="233" t="str">
        <f>+'2024'!B114</f>
        <v>Fortalecer la Formulación y Gestión de Proyectos en la Corporación</v>
      </c>
      <c r="C114" s="233" t="str">
        <f>+'2024'!C114</f>
        <v>Número</v>
      </c>
      <c r="D114" s="233" t="str">
        <f>+'2024'!D114</f>
        <v># de proyectos formulados y gestionados ante diferentes instancias</v>
      </c>
      <c r="E114" s="232">
        <f>+'2024'!E114</f>
        <v>3</v>
      </c>
      <c r="F114" s="234">
        <f>+'2024'!F114</f>
        <v>70000000</v>
      </c>
      <c r="G114" s="232">
        <f>+'2025'!E114</f>
        <v>5</v>
      </c>
      <c r="H114" s="234">
        <f>+'2025'!F114</f>
        <v>180000000</v>
      </c>
      <c r="I114" s="232">
        <f>+'2026'!E114</f>
        <v>5</v>
      </c>
      <c r="J114" s="234">
        <f>+'2026'!F114</f>
        <v>220000000</v>
      </c>
      <c r="K114" s="232">
        <f>+'2027'!E114</f>
        <v>5</v>
      </c>
      <c r="L114" s="299">
        <f>+'2027'!F114</f>
        <v>250000000</v>
      </c>
      <c r="M114" s="307">
        <f t="shared" si="11"/>
        <v>18</v>
      </c>
      <c r="N114" s="234">
        <f t="shared" si="6"/>
        <v>720000000</v>
      </c>
    </row>
    <row r="115" spans="1:14" x14ac:dyDescent="0.25">
      <c r="A115" s="21" t="str">
        <f>+'2024'!A115</f>
        <v>PROYECTO 3.1.3</v>
      </c>
      <c r="B115" s="22" t="str">
        <f>+'2024'!B115</f>
        <v>Modernización y fortalecimiento Institucional</v>
      </c>
      <c r="C115" s="22" t="str">
        <f>+'2024'!C115</f>
        <v>CÓDIGO DNP</v>
      </c>
      <c r="D115" s="222">
        <f>+'2024'!D115</f>
        <v>3299</v>
      </c>
      <c r="E115" s="23"/>
      <c r="F115" s="230">
        <f>+'2024'!F115</f>
        <v>1586553304</v>
      </c>
      <c r="G115" s="231"/>
      <c r="H115" s="230">
        <f>+'2025'!F115</f>
        <v>1220000000</v>
      </c>
      <c r="I115" s="231"/>
      <c r="J115" s="230">
        <f>+'2026'!F115</f>
        <v>1280000000</v>
      </c>
      <c r="K115" s="231"/>
      <c r="L115" s="297">
        <f>+'2027'!F115</f>
        <v>1430000000</v>
      </c>
      <c r="M115" s="230"/>
      <c r="N115" s="230">
        <f t="shared" si="6"/>
        <v>5516553304</v>
      </c>
    </row>
    <row r="116" spans="1:14" ht="25.5" x14ac:dyDescent="0.25">
      <c r="A116" s="24" t="str">
        <f>+'2024'!A116</f>
        <v>CODIGO</v>
      </c>
      <c r="B116" s="25" t="str">
        <f>+'2024'!B116</f>
        <v>ACCIONES 
(INFINITIVO)</v>
      </c>
      <c r="C116" s="25" t="str">
        <f>+'2024'!C116</f>
        <v>UNIDAD 
DE MEDIDA</v>
      </c>
      <c r="D116" s="25" t="str">
        <f>+'2024'!D116</f>
        <v>INDICADOR 
FÓRMULA</v>
      </c>
      <c r="E116" s="25" t="str">
        <f>+'2024'!E116</f>
        <v>Cantidad (2024)</v>
      </c>
      <c r="F116" s="25" t="str">
        <f>+'2024'!F116</f>
        <v>Inversión $ (2024)
 Asignado</v>
      </c>
      <c r="G116" s="25" t="str">
        <f>+'2025'!E116</f>
        <v>Cantidad (2025)</v>
      </c>
      <c r="H116" s="25">
        <f>+'2025'!F116</f>
        <v>0</v>
      </c>
      <c r="I116" s="25" t="str">
        <f>+'2026'!E116</f>
        <v>Cantidad (2026)</v>
      </c>
      <c r="J116" s="25" t="str">
        <f>+'2026'!F116</f>
        <v>Inversión $ (2026) Asignado</v>
      </c>
      <c r="K116" s="25" t="str">
        <f>+'2027'!E116</f>
        <v>Cantidad(2027)</v>
      </c>
      <c r="L116" s="298" t="str">
        <f>+'2027'!F116</f>
        <v>Inversión $(2027)  
Asignado</v>
      </c>
      <c r="M116" s="308" t="s">
        <v>400</v>
      </c>
      <c r="N116" s="309" t="s">
        <v>401</v>
      </c>
    </row>
    <row r="117" spans="1:14" ht="63" x14ac:dyDescent="0.25">
      <c r="A117" s="232" t="str">
        <f>+'2024'!A117</f>
        <v>3.1.3.1</v>
      </c>
      <c r="B117" s="233" t="str">
        <f>+'2024'!B117</f>
        <v xml:space="preserve">Ejecutar el plan estratégico en Tecnología de la información y las comunicaciones </v>
      </c>
      <c r="C117" s="233" t="str">
        <f>+'2024'!C117</f>
        <v>Porcentaje</v>
      </c>
      <c r="D117" s="233" t="str">
        <f>+'2024'!D117</f>
        <v xml:space="preserve">% de cumplimiento plan estratégico en Tecnología de la información y las comunicaciones </v>
      </c>
      <c r="E117" s="232">
        <f>+'2024'!E117</f>
        <v>90</v>
      </c>
      <c r="F117" s="234">
        <f>+'2024'!F117</f>
        <v>350000000</v>
      </c>
      <c r="G117" s="232">
        <f>+'2025'!E117</f>
        <v>90</v>
      </c>
      <c r="H117" s="234">
        <f>+'2025'!F117</f>
        <v>350000000</v>
      </c>
      <c r="I117" s="232">
        <f>+'2026'!E117</f>
        <v>90</v>
      </c>
      <c r="J117" s="234">
        <f>+'2026'!F117</f>
        <v>340000000</v>
      </c>
      <c r="K117" s="232">
        <f>+'2027'!E117</f>
        <v>90</v>
      </c>
      <c r="L117" s="299">
        <f>+'2027'!F117</f>
        <v>370000000</v>
      </c>
      <c r="M117" s="307">
        <v>90</v>
      </c>
      <c r="N117" s="234">
        <f t="shared" si="6"/>
        <v>1410000000</v>
      </c>
    </row>
    <row r="118" spans="1:14" ht="63" x14ac:dyDescent="0.25">
      <c r="A118" s="232" t="str">
        <f>+'2024'!A118</f>
        <v>3.1.3.2</v>
      </c>
      <c r="B118" s="233" t="str">
        <f>+'2024'!B118</f>
        <v>Formular y ejecutar un plan que asegure la modernización y operatividad del Laboratorio ambiental</v>
      </c>
      <c r="C118" s="233" t="str">
        <f>+'2024'!C118</f>
        <v>Porcentaje</v>
      </c>
      <c r="D118" s="233" t="str">
        <f>+'2024'!D118</f>
        <v>% de cumplimiento plan estratégico de funcionamiento de laboratorio ambiental</v>
      </c>
      <c r="E118" s="232">
        <f>+'2024'!E118</f>
        <v>50</v>
      </c>
      <c r="F118" s="234">
        <f>+'2024'!F118</f>
        <v>386553304</v>
      </c>
      <c r="G118" s="232">
        <f>+'2025'!E118</f>
        <v>50</v>
      </c>
      <c r="H118" s="234">
        <f>+'2025'!F118</f>
        <v>330000000</v>
      </c>
      <c r="I118" s="232">
        <f>+'2026'!E118</f>
        <v>50</v>
      </c>
      <c r="J118" s="234">
        <f>+'2026'!F118</f>
        <v>380000000</v>
      </c>
      <c r="K118" s="232">
        <f>+'2027'!E118</f>
        <v>50</v>
      </c>
      <c r="L118" s="299">
        <f>+'2027'!F118</f>
        <v>400000000</v>
      </c>
      <c r="M118" s="307">
        <v>50</v>
      </c>
      <c r="N118" s="234">
        <f t="shared" si="6"/>
        <v>1496553304</v>
      </c>
    </row>
    <row r="119" spans="1:14" ht="31.5" x14ac:dyDescent="0.25">
      <c r="A119" s="232" t="str">
        <f>+'2024'!A119</f>
        <v>3.1.3.3</v>
      </c>
      <c r="B119" s="233" t="str">
        <f>+'2024'!B119</f>
        <v>Mejorar el porcentaje de implementación del modelo integrado de planeación y gestión</v>
      </c>
      <c r="C119" s="233" t="str">
        <f>+'2024'!C119</f>
        <v>Porcentaje</v>
      </c>
      <c r="D119" s="233" t="str">
        <f>+'2024'!D119</f>
        <v>% de implementación MIPG</v>
      </c>
      <c r="E119" s="232">
        <f>+'2024'!E119</f>
        <v>92.5</v>
      </c>
      <c r="F119" s="234">
        <f>+'2024'!F119</f>
        <v>50000000</v>
      </c>
      <c r="G119" s="232">
        <f>+'2025'!E119</f>
        <v>93</v>
      </c>
      <c r="H119" s="234">
        <f>+'2025'!F119</f>
        <v>450000000</v>
      </c>
      <c r="I119" s="232">
        <f>+'2026'!E119</f>
        <v>93.5</v>
      </c>
      <c r="J119" s="234">
        <f>+'2026'!F119</f>
        <v>450000000</v>
      </c>
      <c r="K119" s="232">
        <f>+'2027'!E119</f>
        <v>94</v>
      </c>
      <c r="L119" s="299">
        <f>+'2027'!F119</f>
        <v>530000000</v>
      </c>
      <c r="M119" s="307">
        <v>94</v>
      </c>
      <c r="N119" s="234">
        <f t="shared" si="6"/>
        <v>1480000000</v>
      </c>
    </row>
    <row r="120" spans="1:14" ht="63" x14ac:dyDescent="0.25">
      <c r="A120" s="232" t="str">
        <f>+'2024'!A120</f>
        <v>3.1.3.4</v>
      </c>
      <c r="B120" s="233" t="str">
        <f>+'2024'!B120</f>
        <v>Formular y ejecutar un plan que asegure la modernización y operatividad del Laboratorio de suelos</v>
      </c>
      <c r="C120" s="233" t="str">
        <f>+'2024'!C120</f>
        <v>Porcentaje</v>
      </c>
      <c r="D120" s="233" t="str">
        <f>+'2024'!D120</f>
        <v>% de cumplimiento plan estratégico de funcionamiento de laboratorio de suelos</v>
      </c>
      <c r="E120" s="232">
        <f>+'2024'!E120</f>
        <v>34.54</v>
      </c>
      <c r="F120" s="234">
        <f>+'2024'!F120</f>
        <v>800000000</v>
      </c>
      <c r="G120" s="232">
        <f>+'2025'!E120</f>
        <v>63.55</v>
      </c>
      <c r="H120" s="234">
        <f>+'2025'!F120</f>
        <v>30000000</v>
      </c>
      <c r="I120" s="232">
        <f>+'2026'!E120</f>
        <v>100</v>
      </c>
      <c r="J120" s="234">
        <f>+'2026'!F120</f>
        <v>40000000</v>
      </c>
      <c r="K120" s="232">
        <f>+'2027'!E120</f>
        <v>100</v>
      </c>
      <c r="L120" s="299">
        <f>+'2027'!F120</f>
        <v>50000000</v>
      </c>
      <c r="M120" s="307">
        <v>100</v>
      </c>
      <c r="N120" s="234">
        <f t="shared" si="6"/>
        <v>920000000</v>
      </c>
    </row>
    <row r="121" spans="1:14" ht="47.25" x14ac:dyDescent="0.25">
      <c r="A121" s="232" t="str">
        <f>+'2024'!A121</f>
        <v>3.1.3.5</v>
      </c>
      <c r="B121" s="233" t="str">
        <f>+'2024'!B121</f>
        <v>Mantener el reconocimiento y categorización del grupo de investigación de Corpocaldas frente a MinCiencias</v>
      </c>
      <c r="C121" s="233" t="str">
        <f>+'2024'!C121</f>
        <v>Número</v>
      </c>
      <c r="D121" s="233" t="str">
        <f>+'2024'!D121</f>
        <v>Grupo de Investigación en Categoría C de MinCiencias</v>
      </c>
      <c r="E121" s="232">
        <f>+'2024'!E121</f>
        <v>0</v>
      </c>
      <c r="F121" s="234">
        <f>+'2024'!F121</f>
        <v>0</v>
      </c>
      <c r="G121" s="232">
        <f>+'2025'!E121</f>
        <v>1</v>
      </c>
      <c r="H121" s="234">
        <f>+'2025'!F121</f>
        <v>60000000</v>
      </c>
      <c r="I121" s="232">
        <f>+'2026'!E121</f>
        <v>1</v>
      </c>
      <c r="J121" s="234">
        <f>+'2026'!F121</f>
        <v>70000000</v>
      </c>
      <c r="K121" s="232">
        <f>+'2027'!E121</f>
        <v>1</v>
      </c>
      <c r="L121" s="299">
        <f>+'2027'!F121</f>
        <v>80000000</v>
      </c>
      <c r="M121" s="307">
        <v>1</v>
      </c>
      <c r="N121" s="234">
        <f t="shared" si="6"/>
        <v>210000000</v>
      </c>
    </row>
    <row r="122" spans="1:14" x14ac:dyDescent="0.25">
      <c r="A122" s="18" t="str">
        <f>+'2024'!A122</f>
        <v>PROGRAMA 3.2</v>
      </c>
      <c r="B122" s="221" t="str">
        <f>+'2024'!B122</f>
        <v>GOBERNANZA AMBIENTAL</v>
      </c>
      <c r="C122" s="356"/>
      <c r="D122" s="356"/>
      <c r="E122" s="356"/>
      <c r="F122" s="228">
        <f>+'2024'!F122</f>
        <v>2420817369</v>
      </c>
      <c r="G122" s="229"/>
      <c r="H122" s="228">
        <f>+'2025'!F122</f>
        <v>4524276021</v>
      </c>
      <c r="I122" s="229"/>
      <c r="J122" s="228">
        <f>+'2026'!F122</f>
        <v>4130000000</v>
      </c>
      <c r="K122" s="229"/>
      <c r="L122" s="296">
        <f>+'2027'!F122</f>
        <v>4837000000</v>
      </c>
      <c r="M122" s="228"/>
      <c r="N122" s="228">
        <f t="shared" si="6"/>
        <v>15912093390</v>
      </c>
    </row>
    <row r="123" spans="1:14" x14ac:dyDescent="0.25">
      <c r="A123" s="21" t="str">
        <f>+'2024'!A123</f>
        <v>PROYECTO 3.2.1</v>
      </c>
      <c r="B123" s="22" t="str">
        <f>+'2024'!B123</f>
        <v>Educación y comunicación para la apropiación del bioterritorio</v>
      </c>
      <c r="C123" s="22" t="str">
        <f>+'2024'!C123</f>
        <v>CÓDIGO DNP</v>
      </c>
      <c r="D123" s="222">
        <f>+'2024'!D123</f>
        <v>3208</v>
      </c>
      <c r="E123" s="23"/>
      <c r="F123" s="230">
        <f>+'2024'!F123</f>
        <v>937645292</v>
      </c>
      <c r="G123" s="231"/>
      <c r="H123" s="230">
        <f>+'2025'!F123</f>
        <v>1974276021</v>
      </c>
      <c r="I123" s="231"/>
      <c r="J123" s="230">
        <f>+'2026'!F123</f>
        <v>1640000000</v>
      </c>
      <c r="K123" s="231"/>
      <c r="L123" s="297">
        <f>+'2027'!F123</f>
        <v>2105000000</v>
      </c>
      <c r="M123" s="230"/>
      <c r="N123" s="230">
        <f t="shared" si="6"/>
        <v>6656921313</v>
      </c>
    </row>
    <row r="124" spans="1:14" ht="25.5" x14ac:dyDescent="0.25">
      <c r="A124" s="24" t="str">
        <f>+'2024'!A124</f>
        <v>CODIGO</v>
      </c>
      <c r="B124" s="25" t="str">
        <f>+'2024'!B124</f>
        <v>ACCIONES 
(INFINITIVO)</v>
      </c>
      <c r="C124" s="25" t="str">
        <f>+'2024'!C124</f>
        <v>UNIDAD 
DE MEDIDA</v>
      </c>
      <c r="D124" s="25" t="str">
        <f>+'2024'!D124</f>
        <v>INDICADOR 
FÓRMULA</v>
      </c>
      <c r="E124" s="25" t="str">
        <f>+'2024'!E124</f>
        <v>Cantidad (2024)</v>
      </c>
      <c r="F124" s="25" t="str">
        <f>+'2024'!F124</f>
        <v>Inversión $ (2024)
 Asignado</v>
      </c>
      <c r="G124" s="25" t="str">
        <f>+'2025'!E124</f>
        <v>Cantidad (2025)</v>
      </c>
      <c r="H124" s="25" t="str">
        <f>+'2025'!F124</f>
        <v>Inversión $ (2025) 
Asignado</v>
      </c>
      <c r="I124" s="25" t="str">
        <f>+'2026'!E124</f>
        <v>Cantidad (2026)</v>
      </c>
      <c r="J124" s="25" t="str">
        <f>+'2026'!F124</f>
        <v>Inversión $ (2026) Asignado</v>
      </c>
      <c r="K124" s="25" t="str">
        <f>+'2027'!E124</f>
        <v>Cantidad(2027)</v>
      </c>
      <c r="L124" s="298" t="str">
        <f>+'2027'!F124</f>
        <v>Inversión $(2027)  
Asignado</v>
      </c>
      <c r="M124" s="308" t="s">
        <v>400</v>
      </c>
      <c r="N124" s="309" t="s">
        <v>401</v>
      </c>
    </row>
    <row r="125" spans="1:14" ht="47.25" x14ac:dyDescent="0.25">
      <c r="A125" s="232" t="str">
        <f>+'2024'!A125</f>
        <v>3.2.1.1</v>
      </c>
      <c r="B125" s="233" t="str">
        <f>+'2024'!B125</f>
        <v>Implementar  estrategias de comunicación para el conocimiento ambiental, promoción de la conservación y la apropiación del bioterritorio y la acción colaborativa</v>
      </c>
      <c r="C125" s="233" t="str">
        <f>+'2024'!C125</f>
        <v>Número</v>
      </c>
      <c r="D125" s="233" t="str">
        <f>+'2024'!D125</f>
        <v># de Estrategias implementadas</v>
      </c>
      <c r="E125" s="232">
        <f>+'2024'!E125</f>
        <v>2</v>
      </c>
      <c r="F125" s="234">
        <f>+'2024'!F125</f>
        <v>150000000</v>
      </c>
      <c r="G125" s="232">
        <f>+'2025'!E125</f>
        <v>5</v>
      </c>
      <c r="H125" s="234">
        <f>+'2025'!F125</f>
        <v>220000000</v>
      </c>
      <c r="I125" s="232">
        <f>+'2026'!E125</f>
        <v>6</v>
      </c>
      <c r="J125" s="234">
        <f>+'2026'!F125</f>
        <v>250000000</v>
      </c>
      <c r="K125" s="232">
        <f>+'2027'!E125</f>
        <v>4</v>
      </c>
      <c r="L125" s="299">
        <f>+'2027'!F125</f>
        <v>350000000</v>
      </c>
      <c r="M125" s="307">
        <v>6</v>
      </c>
      <c r="N125" s="234">
        <f t="shared" si="6"/>
        <v>970000000</v>
      </c>
    </row>
    <row r="126" spans="1:14" ht="47.25" x14ac:dyDescent="0.25">
      <c r="A126" s="232" t="str">
        <f>+'2024'!A126</f>
        <v>3.2.1.2</v>
      </c>
      <c r="B126" s="233" t="str">
        <f>+'2024'!B126</f>
        <v xml:space="preserve">Implementar estrategias de comunicación para la visibilización de la gestión y las competencias de la entidad  y mejorar la percepción de valor de los grupos de interés </v>
      </c>
      <c r="C126" s="233" t="str">
        <f>+'2024'!C126</f>
        <v>Número</v>
      </c>
      <c r="D126" s="233" t="str">
        <f>+'2024'!D126</f>
        <v># de Estrategias implementadas</v>
      </c>
      <c r="E126" s="232">
        <f>+'2024'!E126</f>
        <v>2</v>
      </c>
      <c r="F126" s="234">
        <f>+'2024'!F126</f>
        <v>220000000</v>
      </c>
      <c r="G126" s="232">
        <f>+'2025'!E126</f>
        <v>8</v>
      </c>
      <c r="H126" s="234">
        <f>+'2025'!F126</f>
        <v>250000000</v>
      </c>
      <c r="I126" s="232">
        <f>+'2026'!E126</f>
        <v>8</v>
      </c>
      <c r="J126" s="234">
        <f>+'2026'!F126</f>
        <v>300000000</v>
      </c>
      <c r="K126" s="232">
        <f>+'2027'!E126</f>
        <v>6</v>
      </c>
      <c r="L126" s="299">
        <f>+'2027'!F126</f>
        <v>350000000</v>
      </c>
      <c r="M126" s="307">
        <v>8</v>
      </c>
      <c r="N126" s="234">
        <f t="shared" si="6"/>
        <v>1120000000</v>
      </c>
    </row>
    <row r="127" spans="1:14" ht="31.5" x14ac:dyDescent="0.25">
      <c r="A127" s="232" t="str">
        <f>+'2024'!A127</f>
        <v>3.2.1.3</v>
      </c>
      <c r="B127" s="233" t="str">
        <f>+'2024'!B127</f>
        <v>Implementar estrategias de comunicación interna  que impacten postivamente la cultura y el clima organizacional</v>
      </c>
      <c r="C127" s="233" t="str">
        <f>+'2024'!C127</f>
        <v>Número</v>
      </c>
      <c r="D127" s="233" t="str">
        <f>+'2024'!D127</f>
        <v># de Estrategias implementadas</v>
      </c>
      <c r="E127" s="232">
        <f>+'2024'!E127</f>
        <v>1</v>
      </c>
      <c r="F127" s="234">
        <f>+'2024'!F127</f>
        <v>60000000</v>
      </c>
      <c r="G127" s="232">
        <f>+'2025'!E127</f>
        <v>4</v>
      </c>
      <c r="H127" s="234">
        <f>+'2025'!F127</f>
        <v>100000000</v>
      </c>
      <c r="I127" s="232">
        <f>+'2026'!E127</f>
        <v>4</v>
      </c>
      <c r="J127" s="234">
        <f>+'2026'!F127</f>
        <v>120000000</v>
      </c>
      <c r="K127" s="232">
        <f>+'2027'!E127</f>
        <v>4</v>
      </c>
      <c r="L127" s="299">
        <f>+'2027'!F127</f>
        <v>120000000</v>
      </c>
      <c r="M127" s="307">
        <v>4</v>
      </c>
      <c r="N127" s="234">
        <f t="shared" si="6"/>
        <v>400000000</v>
      </c>
    </row>
    <row r="128" spans="1:14" ht="47.25" x14ac:dyDescent="0.25">
      <c r="A128" s="232" t="str">
        <f>+'2024'!A128</f>
        <v>3.2.1.4</v>
      </c>
      <c r="B128" s="233" t="str">
        <f>+'2024'!B128</f>
        <v>Implementar el programa de educación ambiental establecido para la vigencia 2024 - 2027</v>
      </c>
      <c r="C128" s="233" t="str">
        <f>+'2024'!C128</f>
        <v>Porcentaje</v>
      </c>
      <c r="D128" s="233" t="str">
        <f>+'2024'!D128</f>
        <v>% de implementación del programa de educación ambiental</v>
      </c>
      <c r="E128" s="232">
        <f>+'2024'!E128</f>
        <v>10</v>
      </c>
      <c r="F128" s="234">
        <f>+'2024'!F128</f>
        <v>507645292</v>
      </c>
      <c r="G128" s="232">
        <f>+'2025'!E128</f>
        <v>30</v>
      </c>
      <c r="H128" s="234">
        <f>+'2025'!F128</f>
        <v>1254276021</v>
      </c>
      <c r="I128" s="232">
        <f>+'2026'!E128</f>
        <v>30</v>
      </c>
      <c r="J128" s="234">
        <f>+'2026'!F128</f>
        <v>790000000</v>
      </c>
      <c r="K128" s="232">
        <f>+'2027'!E128</f>
        <v>30</v>
      </c>
      <c r="L128" s="299">
        <f>+'2027'!F128</f>
        <v>1085000000</v>
      </c>
      <c r="M128" s="307">
        <f t="shared" ref="M128:M129" si="12">E128+G128+I128+K128</f>
        <v>100</v>
      </c>
      <c r="N128" s="234">
        <f t="shared" si="6"/>
        <v>3636921313</v>
      </c>
    </row>
    <row r="129" spans="1:14" ht="31.5" x14ac:dyDescent="0.25">
      <c r="A129" s="232" t="str">
        <f>+'2024'!A129</f>
        <v>3.2.1.5</v>
      </c>
      <c r="B129" s="233" t="str">
        <f>+'2024'!B129</f>
        <v>Desarrollar proyectos de apropiación social del conocimiento socioambiental</v>
      </c>
      <c r="C129" s="233" t="str">
        <f>+'2024'!C129</f>
        <v>Número</v>
      </c>
      <c r="D129" s="233" t="str">
        <f>+'2024'!D129</f>
        <v># de acciones implementadas</v>
      </c>
      <c r="E129" s="232">
        <f>+'2024'!E129</f>
        <v>0</v>
      </c>
      <c r="F129" s="234">
        <f>+'2024'!F129</f>
        <v>0</v>
      </c>
      <c r="G129" s="232">
        <f>+'2025'!E129</f>
        <v>1</v>
      </c>
      <c r="H129" s="234">
        <f>+'2025'!F129</f>
        <v>150000000</v>
      </c>
      <c r="I129" s="232">
        <f>+'2026'!E129</f>
        <v>2</v>
      </c>
      <c r="J129" s="234">
        <f>+'2026'!F129</f>
        <v>180000000</v>
      </c>
      <c r="K129" s="232">
        <f>+'2027'!E129</f>
        <v>1</v>
      </c>
      <c r="L129" s="299">
        <f>+'2027'!F129</f>
        <v>200000000</v>
      </c>
      <c r="M129" s="307">
        <f t="shared" si="12"/>
        <v>4</v>
      </c>
      <c r="N129" s="234">
        <f t="shared" si="6"/>
        <v>530000000</v>
      </c>
    </row>
    <row r="130" spans="1:14" x14ac:dyDescent="0.25">
      <c r="A130" s="21" t="str">
        <f>+'2024'!A130</f>
        <v>PROYECTO 3.2.2</v>
      </c>
      <c r="B130" s="22" t="str">
        <f>+'2024'!B130</f>
        <v>Participación para la incidencia en el Bioterritorio</v>
      </c>
      <c r="C130" s="22" t="str">
        <f>+'2024'!C130</f>
        <v>CÓDIGO DNP</v>
      </c>
      <c r="D130" s="222">
        <f>+'2024'!D130</f>
        <v>3208</v>
      </c>
      <c r="E130" s="23"/>
      <c r="F130" s="230">
        <f>+'2024'!F130</f>
        <v>602176565</v>
      </c>
      <c r="G130" s="231"/>
      <c r="H130" s="230">
        <f>+'2025'!F130</f>
        <v>1150000000</v>
      </c>
      <c r="I130" s="231"/>
      <c r="J130" s="230">
        <f>+'2026'!F130</f>
        <v>1010000000</v>
      </c>
      <c r="K130" s="231"/>
      <c r="L130" s="297">
        <f>+'2027'!F130</f>
        <v>1192000000</v>
      </c>
      <c r="M130" s="230"/>
      <c r="N130" s="230">
        <f t="shared" si="6"/>
        <v>3954176565</v>
      </c>
    </row>
    <row r="131" spans="1:14" ht="25.5" x14ac:dyDescent="0.25">
      <c r="A131" s="24" t="str">
        <f>+'2024'!A131</f>
        <v>CODIGO</v>
      </c>
      <c r="B131" s="25" t="str">
        <f>+'2024'!B131</f>
        <v>ACCIONES 
(INFINITIVO)</v>
      </c>
      <c r="C131" s="25" t="str">
        <f>+'2024'!C131</f>
        <v>UNIDAD 
DE MEDIDA</v>
      </c>
      <c r="D131" s="25" t="str">
        <f>+'2024'!D131</f>
        <v>INDICADOR 
FÓRMULA</v>
      </c>
      <c r="E131" s="25" t="str">
        <f>+'2024'!E131</f>
        <v>Cantidad (2024)</v>
      </c>
      <c r="F131" s="25" t="str">
        <f>+'2024'!F131</f>
        <v>Inversión $ (2024)
 Asignado</v>
      </c>
      <c r="G131" s="25" t="str">
        <f>+'2025'!E131</f>
        <v>Cantidad (2025)</v>
      </c>
      <c r="H131" s="25" t="str">
        <f>+'2025'!F131</f>
        <v>Inversión $ (2025) 
Asignado</v>
      </c>
      <c r="I131" s="25" t="str">
        <f>+'2026'!E131</f>
        <v>Cantidad (2026)</v>
      </c>
      <c r="J131" s="25" t="str">
        <f>+'2026'!F131</f>
        <v>Inversión $ (2026) Asignado</v>
      </c>
      <c r="K131" s="25" t="str">
        <f>+'2027'!E131</f>
        <v>Cantidad(2027)</v>
      </c>
      <c r="L131" s="298" t="str">
        <f>+'2027'!F131</f>
        <v>Inversión $(2027)  
Asignado</v>
      </c>
      <c r="M131" s="308" t="s">
        <v>400</v>
      </c>
      <c r="N131" s="309" t="s">
        <v>401</v>
      </c>
    </row>
    <row r="132" spans="1:14" ht="78.75" x14ac:dyDescent="0.25">
      <c r="A132" s="232" t="str">
        <f>+'2024'!A132</f>
        <v>3.2.2.1</v>
      </c>
      <c r="B132" s="233" t="str">
        <f>+'2024'!B132</f>
        <v>Fortalecer los procesos y escenarios de participación ciudadana para garantizar el derecho a la participación, el acceso a la Justicia Ambiental, y el acceso a la información para la incidencia en las decisiones ambientales del territorio (ACUERDO DE ESCAZÚ).</v>
      </c>
      <c r="C132" s="233" t="str">
        <f>+'2024'!C132</f>
        <v>Número</v>
      </c>
      <c r="D132" s="233" t="str">
        <f>+'2024'!D132</f>
        <v># subregiones acompañadas</v>
      </c>
      <c r="E132" s="232">
        <f>+'2024'!E132</f>
        <v>5</v>
      </c>
      <c r="F132" s="234">
        <f>+'2024'!F132</f>
        <v>502176565</v>
      </c>
      <c r="G132" s="232">
        <f>+'2025'!E132</f>
        <v>6</v>
      </c>
      <c r="H132" s="234">
        <f>+'2025'!F132</f>
        <v>750000000</v>
      </c>
      <c r="I132" s="232">
        <f>+'2026'!E132</f>
        <v>6</v>
      </c>
      <c r="J132" s="234">
        <f>+'2026'!F132</f>
        <v>700000000</v>
      </c>
      <c r="K132" s="232">
        <f>+'2027'!E132</f>
        <v>6</v>
      </c>
      <c r="L132" s="299">
        <f>+'2027'!F132</f>
        <v>872000000</v>
      </c>
      <c r="M132" s="307">
        <v>6</v>
      </c>
      <c r="N132" s="234">
        <f t="shared" si="6"/>
        <v>2824176565</v>
      </c>
    </row>
    <row r="133" spans="1:14" ht="63" x14ac:dyDescent="0.25">
      <c r="A133" s="232" t="str">
        <f>+'2024'!A133</f>
        <v>3.2.2.2</v>
      </c>
      <c r="B133" s="233" t="str">
        <f>+'2024'!B133</f>
        <v>Acompañar a las instancias de veeduría ciudadana e implementar estrategias en torno a mecanismos de control social para el mejoramiento de la gestión pública</v>
      </c>
      <c r="C133" s="233" t="str">
        <f>+'2024'!C133</f>
        <v>Número</v>
      </c>
      <c r="D133" s="233" t="str">
        <f>+'2024'!D133</f>
        <v># de veedurías acompañadas y estrategias implementadas</v>
      </c>
      <c r="E133" s="232">
        <f>+'2024'!E133</f>
        <v>1</v>
      </c>
      <c r="F133" s="234">
        <f>+'2024'!F133</f>
        <v>40000000</v>
      </c>
      <c r="G133" s="232">
        <f>+'2025'!E133</f>
        <v>2</v>
      </c>
      <c r="H133" s="234">
        <f>+'2025'!F133</f>
        <v>100000000</v>
      </c>
      <c r="I133" s="232">
        <f>+'2026'!E133</f>
        <v>2</v>
      </c>
      <c r="J133" s="234">
        <f>+'2026'!F133</f>
        <v>110000000</v>
      </c>
      <c r="K133" s="232">
        <f>+'2027'!E133</f>
        <v>2</v>
      </c>
      <c r="L133" s="299">
        <f>+'2027'!F133</f>
        <v>120000000</v>
      </c>
      <c r="M133" s="307">
        <f t="shared" ref="M133" si="13">E133+G133+I133+K133</f>
        <v>7</v>
      </c>
      <c r="N133" s="234">
        <f t="shared" si="6"/>
        <v>370000000</v>
      </c>
    </row>
    <row r="134" spans="1:14" ht="47.25" x14ac:dyDescent="0.25">
      <c r="A134" s="232" t="str">
        <f>+'2024'!A134</f>
        <v>3.2.2.3</v>
      </c>
      <c r="B134" s="233" t="str">
        <f>+'2024'!B134</f>
        <v>Implementar estrategias de diálogo y concertación intersectorial y multisectorial para el manejo de los conflictos socioambientales priorizados</v>
      </c>
      <c r="C134" s="233" t="str">
        <f>+'2024'!C134</f>
        <v>Número</v>
      </c>
      <c r="D134" s="233" t="str">
        <f>+'2024'!D134</f>
        <v># de estrategias de dialogo y concertación implementadas</v>
      </c>
      <c r="E134" s="232">
        <f>+'2024'!E134</f>
        <v>1</v>
      </c>
      <c r="F134" s="234">
        <f>+'2024'!F134</f>
        <v>60000000</v>
      </c>
      <c r="G134" s="232">
        <f>+'2025'!E134</f>
        <v>1</v>
      </c>
      <c r="H134" s="234">
        <f>+'2025'!F134</f>
        <v>300000000</v>
      </c>
      <c r="I134" s="232">
        <f>+'2026'!E134</f>
        <v>1</v>
      </c>
      <c r="J134" s="234">
        <f>+'2026'!F134</f>
        <v>200000000</v>
      </c>
      <c r="K134" s="232">
        <f>+'2027'!E134</f>
        <v>1</v>
      </c>
      <c r="L134" s="299">
        <f>+'2027'!F134</f>
        <v>200000000</v>
      </c>
      <c r="M134" s="307">
        <v>1</v>
      </c>
      <c r="N134" s="234">
        <f t="shared" si="6"/>
        <v>760000000</v>
      </c>
    </row>
    <row r="135" spans="1:14" x14ac:dyDescent="0.25">
      <c r="A135" s="21" t="str">
        <f>+'2024'!A135</f>
        <v>PROYECTO 3.2.3</v>
      </c>
      <c r="B135" s="22" t="str">
        <f>+'2024'!B135</f>
        <v>Acciones ambientales diferenciales</v>
      </c>
      <c r="C135" s="22" t="str">
        <f>+'2024'!C135</f>
        <v>CÓDIGO DNP</v>
      </c>
      <c r="D135" s="222">
        <f>+'2024'!D135</f>
        <v>3208</v>
      </c>
      <c r="E135" s="23"/>
      <c r="F135" s="230">
        <f>+'2024'!F135</f>
        <v>880995512</v>
      </c>
      <c r="G135" s="231"/>
      <c r="H135" s="230">
        <f>+'2025'!F135</f>
        <v>1400000000</v>
      </c>
      <c r="I135" s="231"/>
      <c r="J135" s="230">
        <f>+'2026'!F135</f>
        <v>1480000000</v>
      </c>
      <c r="K135" s="231"/>
      <c r="L135" s="297">
        <f>+'2027'!F135</f>
        <v>1540000000</v>
      </c>
      <c r="M135" s="230"/>
      <c r="N135" s="230">
        <f t="shared" si="6"/>
        <v>5300995512</v>
      </c>
    </row>
    <row r="136" spans="1:14" ht="25.5" x14ac:dyDescent="0.25">
      <c r="A136" s="24" t="str">
        <f>+'2024'!A136</f>
        <v>CODIGO</v>
      </c>
      <c r="B136" s="25" t="str">
        <f>+'2024'!B136</f>
        <v>ACCIONES 
(INFINITIVO)</v>
      </c>
      <c r="C136" s="25" t="str">
        <f>+'2024'!C136</f>
        <v>UNIDAD 
DE MEDIDA</v>
      </c>
      <c r="D136" s="25" t="str">
        <f>+'2024'!D136</f>
        <v>INDICADOR 
FÓRMULA</v>
      </c>
      <c r="E136" s="25" t="str">
        <f>+'2024'!E136</f>
        <v>Cantidad (2024)</v>
      </c>
      <c r="F136" s="25" t="str">
        <f>+'2024'!F136</f>
        <v>Inversión $ (2024)
 Asignado</v>
      </c>
      <c r="G136" s="25" t="str">
        <f>+'2025'!E136</f>
        <v>Cantidad (2025)</v>
      </c>
      <c r="H136" s="25" t="str">
        <f>+'2025'!F136</f>
        <v>Inversión $ (2025) 
Asignado</v>
      </c>
      <c r="I136" s="25" t="str">
        <f>+'2026'!E136</f>
        <v>Cantidad (2026)</v>
      </c>
      <c r="J136" s="25" t="str">
        <f>+'2026'!F136</f>
        <v>Inversión $ (2026) Asignado</v>
      </c>
      <c r="K136" s="25" t="str">
        <f>+'2027'!E136</f>
        <v>Cantidad(2027)</v>
      </c>
      <c r="L136" s="298" t="str">
        <f>+'2027'!F136</f>
        <v>Inversión $(2027)  
Asignado</v>
      </c>
      <c r="M136" s="308" t="s">
        <v>400</v>
      </c>
      <c r="N136" s="309" t="s">
        <v>401</v>
      </c>
    </row>
    <row r="137" spans="1:14" ht="31.5" x14ac:dyDescent="0.25">
      <c r="A137" s="232" t="str">
        <f>+'2024'!A137</f>
        <v>3.2.3.1</v>
      </c>
      <c r="B137" s="233" t="str">
        <f>+'2024'!B137</f>
        <v xml:space="preserve">Ejecutar acciones priorizadas en la agenda ambiental Indígena, los acuerdos de consulta previa y los compromisos de sentencias </v>
      </c>
      <c r="C137" s="233" t="str">
        <f>+'2024'!C137</f>
        <v>Porcentaje</v>
      </c>
      <c r="D137" s="233" t="str">
        <f>+'2024'!D137</f>
        <v>% de ejecución agenda concertada</v>
      </c>
      <c r="E137" s="232">
        <f>+'2024'!E137</f>
        <v>100</v>
      </c>
      <c r="F137" s="234">
        <f>+'2024'!F137</f>
        <v>700995512</v>
      </c>
      <c r="G137" s="232">
        <f>+'2025'!E137</f>
        <v>100</v>
      </c>
      <c r="H137" s="234">
        <f>+'2025'!F137</f>
        <v>900000000</v>
      </c>
      <c r="I137" s="232">
        <f>+'2026'!E137</f>
        <v>100</v>
      </c>
      <c r="J137" s="234">
        <f>+'2026'!F137</f>
        <v>900000000</v>
      </c>
      <c r="K137" s="232">
        <f>+'2027'!E137</f>
        <v>100</v>
      </c>
      <c r="L137" s="299">
        <f>+'2027'!F137</f>
        <v>940000000</v>
      </c>
      <c r="M137" s="307">
        <v>100</v>
      </c>
      <c r="N137" s="234">
        <f t="shared" ref="N137:N139" si="14">+F137+H137+J137+L137</f>
        <v>3440995512</v>
      </c>
    </row>
    <row r="138" spans="1:14" ht="31.5" x14ac:dyDescent="0.25">
      <c r="A138" s="232" t="str">
        <f>+'2024'!A138</f>
        <v>3.2.3.2</v>
      </c>
      <c r="B138" s="233" t="str">
        <f>+'2024'!B138</f>
        <v>Ejecutar acciones priorizadas en la agenda ambiental NARP</v>
      </c>
      <c r="C138" s="233" t="str">
        <f>+'2024'!C138</f>
        <v>Porcentaje</v>
      </c>
      <c r="D138" s="233" t="str">
        <f>+'2024'!D138</f>
        <v>% de ejecución agenda concertada</v>
      </c>
      <c r="E138" s="232">
        <f>+'2024'!E138</f>
        <v>100</v>
      </c>
      <c r="F138" s="234">
        <f>+'2024'!F138</f>
        <v>120000000</v>
      </c>
      <c r="G138" s="232">
        <f>+'2025'!E138</f>
        <v>100</v>
      </c>
      <c r="H138" s="234">
        <f>+'2025'!F138</f>
        <v>350000000</v>
      </c>
      <c r="I138" s="232">
        <f>+'2026'!E138</f>
        <v>100</v>
      </c>
      <c r="J138" s="234">
        <f>+'2026'!F138</f>
        <v>400000000</v>
      </c>
      <c r="K138" s="232">
        <f>+'2027'!E138</f>
        <v>100</v>
      </c>
      <c r="L138" s="299">
        <f>+'2027'!F138</f>
        <v>400000000</v>
      </c>
      <c r="M138" s="307">
        <v>100</v>
      </c>
      <c r="N138" s="234">
        <f t="shared" si="14"/>
        <v>1270000000</v>
      </c>
    </row>
    <row r="139" spans="1:14" ht="78.75" x14ac:dyDescent="0.25">
      <c r="A139" s="232" t="str">
        <f>+'2024'!A139</f>
        <v>3.2.3.3</v>
      </c>
      <c r="B139" s="233" t="str">
        <f>+'2024'!B139</f>
        <v>Acompañar e implementar procesos para la formulación de planes, programas y acciones con enfoque de género y diferencial.</v>
      </c>
      <c r="C139" s="233" t="str">
        <f>+'2024'!C139</f>
        <v>Número</v>
      </c>
      <c r="D139" s="233" t="str">
        <f>+'2024'!D139</f>
        <v># de procesos acompañados con enfoque de género y diferencial (Personas con discapacidad)</v>
      </c>
      <c r="E139" s="232">
        <f>+'2024'!E139</f>
        <v>1</v>
      </c>
      <c r="F139" s="302">
        <f>+'2024'!F139</f>
        <v>60000000</v>
      </c>
      <c r="G139" s="303">
        <f>+'2025'!E139</f>
        <v>2</v>
      </c>
      <c r="H139" s="302">
        <f>+'2025'!F139</f>
        <v>150000000</v>
      </c>
      <c r="I139" s="303">
        <f>+'2026'!E139</f>
        <v>2</v>
      </c>
      <c r="J139" s="302">
        <f>+'2026'!F139</f>
        <v>180000000</v>
      </c>
      <c r="K139" s="303">
        <f>+'2027'!E139</f>
        <v>2</v>
      </c>
      <c r="L139" s="304">
        <f>+'2027'!F139</f>
        <v>200000000</v>
      </c>
      <c r="M139" s="307">
        <v>2</v>
      </c>
      <c r="N139" s="302">
        <f t="shared" si="14"/>
        <v>590000000</v>
      </c>
    </row>
    <row r="140" spans="1:14" ht="42.75" customHeight="1" x14ac:dyDescent="0.25">
      <c r="A140" s="300"/>
      <c r="B140" s="301" t="s">
        <v>402</v>
      </c>
      <c r="C140" s="371" t="s">
        <v>403</v>
      </c>
      <c r="D140" s="371"/>
      <c r="E140" s="372"/>
      <c r="F140" s="305">
        <f>F7+F65+F96</f>
        <v>20043722265</v>
      </c>
      <c r="G140" s="306"/>
      <c r="H140" s="305">
        <f>H7+H65+H96</f>
        <v>26722111000</v>
      </c>
      <c r="I140" s="306"/>
      <c r="J140" s="305">
        <f>J7+J65+J96</f>
        <v>28506711000</v>
      </c>
      <c r="K140" s="306"/>
      <c r="L140" s="305">
        <f>L7+L65+L96</f>
        <v>30047111000</v>
      </c>
      <c r="M140" s="305"/>
      <c r="N140" s="305">
        <f>N7+N65+N96</f>
        <v>105319655265</v>
      </c>
    </row>
  </sheetData>
  <autoFilter ref="A7:N140" xr:uid="{3EA3D3E7-6AF4-446A-834D-217328005EBA}">
    <filterColumn colId="2" showButton="0"/>
    <filterColumn colId="3" showButton="0"/>
  </autoFilter>
  <mergeCells count="10">
    <mergeCell ref="C140:E140"/>
    <mergeCell ref="C96:E96"/>
    <mergeCell ref="C97:E97"/>
    <mergeCell ref="C122:E122"/>
    <mergeCell ref="C7:E7"/>
    <mergeCell ref="C8:E8"/>
    <mergeCell ref="C45:E45"/>
    <mergeCell ref="C65:E65"/>
    <mergeCell ref="C66:E66"/>
    <mergeCell ref="C83:E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2024</vt:lpstr>
      <vt:lpstr>2025</vt:lpstr>
      <vt:lpstr>2026</vt:lpstr>
      <vt:lpstr>2027</vt:lpstr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Gutierrez</dc:creator>
  <cp:keywords/>
  <dc:description/>
  <cp:lastModifiedBy>Luz Adriana Ramirez Lopez</cp:lastModifiedBy>
  <cp:revision/>
  <dcterms:created xsi:type="dcterms:W3CDTF">2024-03-13T22:00:09Z</dcterms:created>
  <dcterms:modified xsi:type="dcterms:W3CDTF">2024-08-01T23:01:01Z</dcterms:modified>
  <cp:category/>
  <cp:contentStatus/>
</cp:coreProperties>
</file>